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2017'!$5:$5</definedName>
    <definedName name="_xlnm.Print_Area" localSheetId="0">'Расходы 2017'!$A$1:$G$845</definedName>
  </definedNames>
  <calcPr fullCalcOnLoad="1"/>
</workbook>
</file>

<file path=xl/sharedStrings.xml><?xml version="1.0" encoding="utf-8"?>
<sst xmlns="http://schemas.openxmlformats.org/spreadsheetml/2006/main" count="2527" uniqueCount="606">
  <si>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</si>
  <si>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</si>
  <si>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</si>
  <si>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</si>
  <si>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</si>
  <si>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</si>
  <si>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</si>
  <si>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</si>
  <si>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</si>
  <si>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</si>
  <si>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</si>
  <si>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</si>
  <si>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</si>
  <si>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</si>
  <si>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</si>
  <si>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</si>
  <si>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</si>
  <si>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</si>
  <si>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</si>
  <si>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</si>
  <si>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</si>
  <si>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</si>
  <si>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</si>
  <si>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</si>
  <si>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</si>
  <si>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</si>
  <si>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</si>
  <si>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</si>
  <si>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</si>
  <si>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</si>
  <si>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</si>
  <si>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</si>
  <si>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</si>
  <si>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</si>
  <si>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</si>
  <si>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</si>
  <si>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</si>
  <si>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</si>
  <si>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</si>
  <si>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</si>
  <si>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</si>
  <si>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</si>
  <si>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</si>
  <si>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</si>
  <si>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</si>
  <si>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</si>
  <si>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</si>
  <si>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</si>
  <si>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</si>
  <si>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</si>
  <si>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</si>
  <si>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</si>
  <si>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</si>
  <si>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</si>
  <si>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</si>
  <si>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Утверждено на 2017 год с учетом изменений, внесенных 28.03.2017 и 23.05.2017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</si>
  <si>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</si>
  <si>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</si>
  <si>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</si>
  <si>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</si>
  <si>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</si>
  <si>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</si>
  <si>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</si>
  <si>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</si>
  <si>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</si>
  <si>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</si>
  <si>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</si>
  <si>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</si>
  <si>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</si>
  <si>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</si>
  <si>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</si>
  <si>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</si>
  <si>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</si>
  <si>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</si>
  <si>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</si>
  <si>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</si>
  <si>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</si>
  <si>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</si>
  <si>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</si>
  <si>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</si>
  <si>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</si>
  <si>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</si>
  <si>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</si>
  <si>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</si>
  <si>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</si>
  <si>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</si>
  <si>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</si>
  <si>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</si>
  <si>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</si>
  <si>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</si>
  <si>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</si>
  <si>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</si>
  <si>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</si>
  <si>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</si>
  <si>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</si>
  <si>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</si>
  <si>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</si>
  <si>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</si>
  <si>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</si>
  <si>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</si>
  <si>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</si>
  <si>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</si>
  <si>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</si>
  <si>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</si>
  <si>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</si>
  <si>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</si>
  <si>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</si>
  <si>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70 5 00 15004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</si>
  <si>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</si>
  <si>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>70 3 00 13012</t>
  </si>
  <si>
    <t>70 3 00 13013</t>
  </si>
  <si>
    <t>Увеличение уставного фонда МП "Дом ученых"</t>
  </si>
  <si>
    <t>Увеличение уставного фонда МП "Кинотеатр "Мир"</t>
  </si>
  <si>
    <t>10 0 01 L5250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</si>
  <si>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</si>
  <si>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</si>
  <si>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</si>
  <si>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</si>
  <si>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</si>
  <si>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</si>
  <si>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</si>
  <si>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</si>
  <si>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</si>
  <si>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</si>
  <si>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</si>
  <si>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</si>
  <si>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</si>
  <si>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</si>
  <si>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</si>
  <si>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</si>
  <si>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</si>
  <si>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</si>
  <si>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</si>
  <si>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</si>
  <si>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</si>
  <si>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</si>
  <si>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</si>
  <si>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</si>
  <si>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</si>
  <si>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</si>
  <si>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</si>
  <si>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</si>
  <si>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</si>
  <si>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</si>
  <si>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</si>
  <si>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</si>
  <si>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</si>
  <si>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</si>
  <si>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</si>
  <si>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</si>
  <si>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</si>
  <si>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</si>
  <si>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</si>
  <si>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</si>
  <si>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</si>
  <si>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</si>
  <si>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</si>
  <si>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</si>
  <si>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</si>
  <si>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</si>
  <si>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</si>
  <si>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</si>
  <si>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</si>
  <si>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</si>
  <si>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</si>
  <si>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</si>
  <si>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</si>
  <si>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</si>
  <si>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</si>
  <si>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</si>
  <si>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</si>
  <si>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</si>
  <si>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</si>
  <si>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</si>
  <si>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</si>
  <si>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</si>
  <si>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</si>
  <si>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</si>
  <si>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</si>
  <si>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</si>
  <si>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</si>
  <si>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</si>
  <si>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</si>
  <si>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</si>
  <si>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</si>
  <si>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</si>
  <si>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</si>
  <si>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</si>
  <si>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</si>
  <si>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</si>
  <si>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</si>
  <si>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</si>
  <si>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</si>
  <si>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</si>
  <si>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</si>
  <si>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</si>
  <si>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</si>
  <si>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</si>
  <si>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</si>
  <si>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</si>
  <si>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</si>
  <si>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</si>
  <si>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</si>
  <si>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</si>
  <si>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</si>
  <si>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</si>
  <si>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</si>
  <si>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</si>
  <si>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</si>
  <si>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</si>
  <si>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</si>
  <si>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</si>
  <si>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</si>
  <si>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</si>
  <si>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</si>
  <si>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</si>
  <si>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</si>
  <si>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</si>
  <si>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</si>
  <si>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</si>
  <si>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</si>
  <si>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</si>
  <si>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</si>
  <si>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</si>
  <si>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</si>
  <si>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</si>
  <si>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02 2 01 R5190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</si>
  <si>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</si>
  <si>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</si>
  <si>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</si>
  <si>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</si>
  <si>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</si>
  <si>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</si>
  <si>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</si>
  <si>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</si>
  <si>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</si>
  <si>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</si>
  <si>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</si>
  <si>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</si>
  <si>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</si>
  <si>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</si>
  <si>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</si>
  <si>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</si>
  <si>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</si>
  <si>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</si>
  <si>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</si>
  <si>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</si>
  <si>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</si>
  <si>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</si>
  <si>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</si>
  <si>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</si>
  <si>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</si>
  <si>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</si>
  <si>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</si>
  <si>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</si>
  <si>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</si>
  <si>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</si>
  <si>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</si>
  <si>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</si>
  <si>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</si>
  <si>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</si>
  <si>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0505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</si>
  <si>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</si>
  <si>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</si>
  <si>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Другие вопросы в области жилищно-коммунального хозяйства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</si>
  <si>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</si>
  <si>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Муниципальная программа «Социальная поддержка населения города Обнинска»</t>
  </si>
  <si>
    <t>Демонтаж строительных конструкций фундамента и подвальной части здания школы №17 в 52 микрорайоне г.Обнинска</t>
  </si>
  <si>
    <t xml:space="preserve">Осуществление спортивной деятельности по классическому и пляжному волейболу </t>
  </si>
  <si>
    <t>Муниципальная программа «Развитие и модернизация объектов инженерной инфраструктуры города Обнинска»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</si>
  <si>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</si>
  <si>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10 0 00 00000</t>
  </si>
  <si>
    <t>10 0 04 10000</t>
  </si>
  <si>
    <t>1400</t>
  </si>
  <si>
    <t>1403</t>
  </si>
  <si>
    <t>70 5 00 00000</t>
  </si>
  <si>
    <t>70 5 00 15001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</si>
  <si>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</si>
  <si>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01 2 03 00080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</si>
  <si>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</si>
  <si>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</si>
  <si>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</si>
  <si>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</si>
  <si>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</si>
  <si>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</si>
  <si>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</si>
  <si>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</si>
  <si>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</si>
  <si>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Организация выездных мероприятий</t>
  </si>
  <si>
    <t>02 1 08 10000</t>
  </si>
  <si>
    <t>05 1 09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</si>
  <si>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</si>
  <si>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06 0 01 85000</t>
  </si>
  <si>
    <t>Софинансирование работ по ремонту автомобильных дорог за счет средств субсидии из областного бюджета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</si>
  <si>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</si>
  <si>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</si>
  <si>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05 1 22 R4620</t>
  </si>
  <si>
    <t>Компенсация отдельным категориям граждан оплаты взноса на капитальный ремонт общего имущества в многоквартирном доме</t>
  </si>
  <si>
    <t>12 1 02 86830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</si>
  <si>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</si>
  <si>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</si>
  <si>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</si>
  <si>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08 0 04 10000</t>
  </si>
  <si>
    <t>Повышение энергоэффективности малоэтажных домов</t>
  </si>
  <si>
    <t>Установка, модернизация и обслуживание систем видеонаблюдения на территории города Обнинска</t>
  </si>
  <si>
    <t xml:space="preserve">Строительство и реконструкция существующих  сетей наружного освещения </t>
  </si>
  <si>
    <t>Разработка проектно-сметной документации строительства системы электроснабжения в здании по адресу: г.Обнинск, ул. Пирогова,1</t>
  </si>
  <si>
    <t>02 3 03 10000</t>
  </si>
  <si>
    <t>06 0 07 10000</t>
  </si>
  <si>
    <t>Строительство и реконструкция автомобильных дорог и искусственных сооружений на них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</si>
  <si>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</si>
  <si>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</si>
  <si>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05 2 07 R0270</t>
  </si>
  <si>
    <t>Создание условий для инклюзивного образования детей-инвалидов в муниципальных образовательных организациях</t>
  </si>
  <si>
    <t>01 4 01 02301</t>
  </si>
  <si>
    <t>Организация отдыха и оздоровления детей и подростков города Обнинска за счет средств областного бюджета</t>
  </si>
  <si>
    <t>05 4 00 00000</t>
  </si>
  <si>
    <t>05 4 01 R0200</t>
  </si>
  <si>
    <t>Подпрограмма "Обеспечение жильем молодых семей"</t>
  </si>
  <si>
    <t>Предоставление молодым семьям социальных выплат на приобретение (строительство) жилья</t>
  </si>
  <si>
    <t>09 6 00 00000</t>
  </si>
  <si>
    <t>09 6 01 10000</t>
  </si>
  <si>
    <t>09 6 01 R555F</t>
  </si>
  <si>
    <t>09 6 02 10000</t>
  </si>
  <si>
    <t>09 6 02 R555F</t>
  </si>
  <si>
    <t>Подпрограмма "Формирование современной городской среды"</t>
  </si>
  <si>
    <t>Благоустройство общественных территорий за счет средств местного бюджета</t>
  </si>
  <si>
    <t>Благоустройство общественных территорий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</si>
  <si>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</si>
  <si>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</si>
  <si>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</si>
  <si>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R0210</t>
  </si>
  <si>
    <t>Благоустройство дворовых территорий за счет средств местного бюджета</t>
  </si>
  <si>
    <t>Благоустройство дворовых территорий</t>
  </si>
  <si>
    <t>01 1 02 00080</t>
  </si>
  <si>
    <t>70 5 00 15003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</si>
  <si>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</si>
  <si>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</si>
  <si>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</si>
  <si>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</si>
  <si>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70 3 00 13011</t>
  </si>
  <si>
    <t>880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</si>
  <si>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</si>
  <si>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</si>
  <si>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 xml:space="preserve">Организация предоставления населению мер социальной поддержки в соответствии с законодательством 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</si>
  <si>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</si>
  <si>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</si>
  <si>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</si>
  <si>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</si>
  <si>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</si>
  <si>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</si>
  <si>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</si>
  <si>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</si>
  <si>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</si>
  <si>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Организация общественных форумов, конференций, семинаров, лекций, культурно-просветительских мероприятий</t>
  </si>
  <si>
    <t>Организация киновидеопоказа и досуговых мероприятий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</si>
  <si>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</si>
  <si>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</si>
  <si>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</si>
  <si>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</si>
  <si>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</si>
  <si>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</si>
  <si>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</si>
  <si>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</si>
  <si>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</si>
  <si>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</si>
  <si>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</si>
  <si>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</si>
  <si>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</si>
  <si>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</si>
  <si>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</si>
  <si>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</si>
  <si>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</si>
  <si>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</si>
  <si>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</si>
  <si>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</si>
  <si>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</si>
  <si>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</si>
  <si>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</si>
  <si>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</si>
  <si>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</si>
  <si>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</si>
  <si>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</si>
  <si>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</si>
  <si>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</si>
  <si>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</si>
  <si>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</si>
  <si>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</si>
  <si>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</si>
  <si>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</si>
  <si>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</si>
  <si>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</si>
  <si>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</si>
  <si>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</si>
  <si>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</si>
  <si>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</si>
  <si>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</si>
  <si>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</si>
  <si>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</si>
  <si>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</si>
  <si>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</si>
  <si>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</si>
  <si>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</si>
  <si>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</si>
  <si>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</si>
  <si>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</si>
  <si>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</si>
  <si>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</si>
  <si>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</si>
  <si>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</si>
  <si>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</si>
  <si>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</si>
  <si>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</si>
  <si>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</si>
  <si>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</si>
  <si>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</si>
  <si>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</si>
  <si>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</si>
  <si>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</si>
  <si>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</si>
  <si>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</si>
  <si>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</si>
  <si>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</si>
  <si>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</si>
  <si>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</si>
  <si>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</si>
  <si>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</si>
  <si>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</si>
  <si>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</si>
  <si>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</si>
  <si>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</si>
  <si>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</si>
  <si>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</si>
  <si>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</si>
  <si>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</si>
  <si>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</si>
  <si>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</si>
  <si>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</si>
  <si>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</si>
  <si>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</si>
  <si>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</si>
  <si>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</si>
  <si>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</si>
  <si>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</si>
  <si>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</si>
  <si>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</si>
  <si>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Изменения (увеличение (+), уменьшение (-))</t>
  </si>
  <si>
    <t>Сумма на 2017 год с учетом изменений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</si>
  <si>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</si>
  <si>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</si>
  <si>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</si>
  <si>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</si>
  <si>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</si>
  <si>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</si>
  <si>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</si>
  <si>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</si>
  <si>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</si>
  <si>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</si>
  <si>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</si>
  <si>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</si>
  <si>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</si>
  <si>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</si>
  <si>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</si>
  <si>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</si>
  <si>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</si>
  <si>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</si>
  <si>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</si>
  <si>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</si>
  <si>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</si>
  <si>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</si>
  <si>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</si>
  <si>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</si>
  <si>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</si>
  <si>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</si>
  <si>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</si>
  <si>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</si>
  <si>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</si>
  <si>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</si>
  <si>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</si>
  <si>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</si>
  <si>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</si>
  <si>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</si>
  <si>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</si>
  <si>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</si>
  <si>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</si>
  <si>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</si>
  <si>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</si>
  <si>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</si>
  <si>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</si>
  <si>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</si>
  <si>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</si>
  <si>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</si>
  <si>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</si>
  <si>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</si>
  <si>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</si>
  <si>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</si>
  <si>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</si>
  <si>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</si>
  <si>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</si>
  <si>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</si>
  <si>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</si>
  <si>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</si>
  <si>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</si>
  <si>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</si>
  <si>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</si>
  <si>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</si>
  <si>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</si>
  <si>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</si>
  <si>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</si>
  <si>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</si>
  <si>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</si>
  <si>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</si>
  <si>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</si>
  <si>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</si>
  <si>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</si>
  <si>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</si>
  <si>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</si>
  <si>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</si>
  <si>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</si>
  <si>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</si>
  <si>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</si>
  <si>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</si>
  <si>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</si>
  <si>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</si>
  <si>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</si>
  <si>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</si>
  <si>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</si>
  <si>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</si>
  <si>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</si>
  <si>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</si>
  <si>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</si>
  <si>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</si>
  <si>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</si>
  <si>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</si>
  <si>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</si>
  <si>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</si>
  <si>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</si>
  <si>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</si>
  <si>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</si>
  <si>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</si>
  <si>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</si>
  <si>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</si>
  <si>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</si>
  <si>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</si>
  <si>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</si>
  <si>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</si>
  <si>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70 3 00 13014 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</si>
  <si>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</si>
  <si>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</si>
  <si>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</si>
  <si>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</si>
  <si>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</si>
  <si>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</si>
  <si>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</si>
  <si>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</si>
  <si>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</si>
  <si>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</si>
  <si>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</si>
  <si>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</si>
  <si>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</si>
  <si>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</si>
  <si>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</si>
  <si>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</si>
  <si>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</si>
  <si>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</si>
  <si>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</si>
  <si>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</si>
  <si>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</si>
  <si>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</si>
  <si>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</si>
  <si>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</si>
  <si>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</si>
  <si>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</si>
  <si>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</si>
  <si>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</si>
  <si>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</si>
  <si>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</si>
  <si>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</si>
  <si>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</si>
  <si>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</si>
  <si>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</si>
  <si>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</si>
  <si>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</si>
  <si>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</si>
  <si>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</si>
  <si>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</si>
  <si>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</si>
  <si>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</si>
  <si>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</si>
  <si>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</si>
  <si>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</si>
  <si>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</si>
  <si>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</si>
  <si>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</si>
  <si>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</si>
  <si>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</si>
  <si>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</si>
  <si>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</si>
  <si>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</si>
  <si>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</si>
  <si>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</si>
  <si>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</si>
  <si>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</si>
  <si>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</si>
  <si>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</si>
  <si>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Приложение № 1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ред. реш. городского Собрания от 28.03.2017 № 02-28 и от 23.05.2017 № 02-30)   от 28.11.2017 № 01-34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</si>
</sst>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7" fillId="24" borderId="2" applyNumberFormat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0" fillId="3" borderId="1" applyNumberFormat="0" applyAlignment="0" applyProtection="0"/>
    <xf numFmtId="0" fontId="44" fillId="0" borderId="6" applyNumberFormat="0" applyFill="0" applyAlignment="0" applyProtection="0"/>
    <xf numFmtId="0" fontId="29" fillId="12" borderId="0" applyNumberFormat="0" applyBorder="0" applyAlignment="0" applyProtection="0"/>
    <xf numFmtId="0" fontId="39" fillId="4" borderId="7" applyNumberFormat="0" applyFont="0" applyAlignment="0" applyProtection="0"/>
    <xf numFmtId="0" fontId="21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9" fillId="0" borderId="0">
      <alignment/>
      <protection/>
    </xf>
    <xf numFmtId="0" fontId="33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1" applyNumberFormat="0" applyAlignment="0" applyProtection="0"/>
    <xf numFmtId="0" fontId="21" fillId="25" borderId="8" applyNumberFormat="0" applyAlignment="0" applyProtection="0"/>
    <xf numFmtId="0" fontId="22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2" applyNumberForma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9" fontId="13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left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16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9" fillId="29" borderId="26" xfId="130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10" fillId="0" borderId="26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3" fillId="0" borderId="26" xfId="0" applyFont="1" applyFill="1" applyBorder="1" applyAlignment="1">
      <alignment horizontal="left"/>
    </xf>
    <xf numFmtId="0" fontId="9" fillId="23" borderId="26" xfId="131" applyFont="1" applyFill="1" applyBorder="1" applyAlignment="1">
      <alignment horizontal="left" vertical="top" wrapText="1"/>
      <protection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14" fillId="0" borderId="26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4" fontId="4" fillId="0" borderId="27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 wrapText="1"/>
    </xf>
    <xf numFmtId="4" fontId="10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wrapText="1"/>
    </xf>
    <xf numFmtId="4" fontId="9" fillId="0" borderId="27" xfId="99" applyNumberFormat="1" applyFont="1" applyFill="1" applyBorder="1" applyProtection="1">
      <alignment horizontal="right" vertical="top" shrinkToFit="1"/>
      <protection locked="0"/>
    </xf>
    <xf numFmtId="4" fontId="3" fillId="0" borderId="28" xfId="0" applyNumberFormat="1" applyFont="1" applyFill="1" applyBorder="1" applyAlignment="1">
      <alignment wrapText="1"/>
    </xf>
    <xf numFmtId="4" fontId="12" fillId="0" borderId="27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4" fontId="10" fillId="0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0" fontId="13" fillId="0" borderId="26" xfId="0" applyFont="1" applyFill="1" applyBorder="1" applyAlignment="1">
      <alignment horizontal="center" vertical="center" wrapText="1"/>
    </xf>
    <xf numFmtId="14" fontId="13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50" fillId="0" borderId="26" xfId="0" applyFont="1" applyFill="1" applyBorder="1" applyAlignment="1">
      <alignment horizontal="left" wrapText="1"/>
    </xf>
    <xf numFmtId="0" fontId="51" fillId="0" borderId="26" xfId="0" applyFont="1" applyFill="1" applyBorder="1" applyAlignment="1">
      <alignment horizontal="left" wrapText="1"/>
    </xf>
    <xf numFmtId="0" fontId="3" fillId="0" borderId="26" xfId="0" applyNumberFormat="1" applyFont="1" applyFill="1" applyBorder="1" applyAlignment="1">
      <alignment horizontal="left" wrapText="1"/>
    </xf>
    <xf numFmtId="4" fontId="3" fillId="0" borderId="26" xfId="0" applyNumberFormat="1" applyFont="1" applyFill="1" applyBorder="1" applyAlignment="1">
      <alignment horizontal="right" wrapText="1"/>
    </xf>
    <xf numFmtId="4" fontId="10" fillId="0" borderId="27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5"/>
  <sheetViews>
    <sheetView tabSelected="1" zoomScale="95" zoomScaleNormal="95" zoomScaleSheetLayoutView="95" zoomScalePageLayoutView="0" workbookViewId="0" topLeftCell="A1">
      <selection activeCell="C1" sqref="C1"/>
    </sheetView>
  </sheetViews>
  <sheetFormatPr defaultColWidth="8.875" defaultRowHeight="12.75"/>
  <cols>
    <col min="1" max="1" width="55.75390625" style="28" customWidth="1"/>
    <col min="2" max="2" width="9.25390625" style="47" customWidth="1"/>
    <col min="3" max="3" width="17.25390625" style="31" customWidth="1"/>
    <col min="4" max="4" width="8.375" style="31" customWidth="1"/>
    <col min="5" max="5" width="21.125" style="32" customWidth="1"/>
    <col min="6" max="6" width="19.25390625" style="3" customWidth="1"/>
    <col min="7" max="7" width="19.625" style="3" customWidth="1"/>
    <col min="8" max="16384" width="8.875" style="3" customWidth="1"/>
  </cols>
  <sheetData>
    <row r="1" spans="1:7" ht="93" customHeight="1">
      <c r="A1" s="36"/>
      <c r="B1" s="44"/>
      <c r="C1" s="64"/>
      <c r="D1" s="64"/>
      <c r="E1" s="70" t="s">
        <v>605</v>
      </c>
      <c r="F1" s="70"/>
      <c r="G1" s="70"/>
    </row>
    <row r="2" spans="1:5" ht="15.75">
      <c r="A2" s="36"/>
      <c r="B2" s="44"/>
      <c r="C2" s="38"/>
      <c r="D2" s="38"/>
      <c r="E2" s="6"/>
    </row>
    <row r="3" spans="1:7" ht="54" customHeight="1">
      <c r="A3" s="71" t="s">
        <v>265</v>
      </c>
      <c r="B3" s="71"/>
      <c r="C3" s="71"/>
      <c r="D3" s="71"/>
      <c r="E3" s="71"/>
      <c r="F3" s="71"/>
      <c r="G3" s="71"/>
    </row>
    <row r="4" spans="1:7" ht="15.75">
      <c r="A4" s="14"/>
      <c r="B4" s="45"/>
      <c r="C4" s="14"/>
      <c r="D4" s="14"/>
      <c r="G4" s="6" t="s">
        <v>96</v>
      </c>
    </row>
    <row r="5" spans="1:7" s="4" customFormat="1" ht="85.5">
      <c r="A5" s="37" t="s">
        <v>216</v>
      </c>
      <c r="B5" s="7" t="s">
        <v>510</v>
      </c>
      <c r="C5" s="7" t="s">
        <v>511</v>
      </c>
      <c r="D5" s="7" t="s">
        <v>512</v>
      </c>
      <c r="E5" s="62" t="s">
        <v>55</v>
      </c>
      <c r="F5" s="62" t="s">
        <v>446</v>
      </c>
      <c r="G5" s="63" t="s">
        <v>447</v>
      </c>
    </row>
    <row r="6" spans="1:7" s="39" customFormat="1" ht="16.5">
      <c r="A6" s="9" t="s">
        <v>513</v>
      </c>
      <c r="B6" s="8" t="s">
        <v>514</v>
      </c>
      <c r="C6" s="8"/>
      <c r="D6" s="8"/>
      <c r="E6" s="49">
        <f>SUM(E7,E17,E38,E61,E70,E55)</f>
        <v>295677987</v>
      </c>
      <c r="F6" s="49">
        <f>SUM(F7,F17,F38,F61,F70,F55)</f>
        <v>15029919</v>
      </c>
      <c r="G6" s="59">
        <f>SUM(E6:F6)</f>
        <v>310707906</v>
      </c>
    </row>
    <row r="7" spans="1:7" s="5" customFormat="1" ht="63">
      <c r="A7" s="10" t="s">
        <v>139</v>
      </c>
      <c r="B7" s="12" t="s">
        <v>140</v>
      </c>
      <c r="C7" s="2"/>
      <c r="D7" s="2"/>
      <c r="E7" s="50">
        <f aca="true" t="shared" si="0" ref="E7:F9">E8</f>
        <v>24050000</v>
      </c>
      <c r="F7" s="50">
        <f t="shared" si="0"/>
        <v>0</v>
      </c>
      <c r="G7" s="60">
        <f>SUM(E7:F7)</f>
        <v>24050000</v>
      </c>
    </row>
    <row r="8" spans="1:7" s="5" customFormat="1" ht="15.75">
      <c r="A8" s="27" t="s">
        <v>411</v>
      </c>
      <c r="B8" s="1" t="s">
        <v>140</v>
      </c>
      <c r="C8" s="2" t="s">
        <v>209</v>
      </c>
      <c r="D8" s="2"/>
      <c r="E8" s="51">
        <f t="shared" si="0"/>
        <v>24050000</v>
      </c>
      <c r="F8" s="51">
        <f t="shared" si="0"/>
        <v>0</v>
      </c>
      <c r="G8" s="61">
        <f>SUM(E8:F8)</f>
        <v>24050000</v>
      </c>
    </row>
    <row r="9" spans="1:7" s="5" customFormat="1" ht="31.5">
      <c r="A9" s="25" t="s">
        <v>603</v>
      </c>
      <c r="B9" s="1" t="s">
        <v>140</v>
      </c>
      <c r="C9" s="2" t="s">
        <v>208</v>
      </c>
      <c r="D9" s="2"/>
      <c r="E9" s="51">
        <f t="shared" si="0"/>
        <v>24050000</v>
      </c>
      <c r="F9" s="51">
        <f t="shared" si="0"/>
        <v>0</v>
      </c>
      <c r="G9" s="61">
        <f>SUM(E9:F9)</f>
        <v>24050000</v>
      </c>
    </row>
    <row r="10" spans="1:7" s="5" customFormat="1" ht="31.5">
      <c r="A10" s="25" t="s">
        <v>159</v>
      </c>
      <c r="B10" s="1" t="s">
        <v>140</v>
      </c>
      <c r="C10" s="2" t="s">
        <v>602</v>
      </c>
      <c r="D10" s="2"/>
      <c r="E10" s="51">
        <f>SUM(E11,E13,E15)</f>
        <v>24050000</v>
      </c>
      <c r="F10" s="51">
        <f>SUM(F11,F13,F15)</f>
        <v>0</v>
      </c>
      <c r="G10" s="61">
        <f aca="true" t="shared" si="1" ref="G10:G82">SUM(E10:F10)</f>
        <v>24050000</v>
      </c>
    </row>
    <row r="11" spans="1:7" s="5" customFormat="1" ht="78.75">
      <c r="A11" s="24" t="s">
        <v>398</v>
      </c>
      <c r="B11" s="1" t="s">
        <v>140</v>
      </c>
      <c r="C11" s="2" t="s">
        <v>602</v>
      </c>
      <c r="D11" s="1" t="s">
        <v>402</v>
      </c>
      <c r="E11" s="51">
        <f>E12</f>
        <v>20105000</v>
      </c>
      <c r="F11" s="51">
        <f>F12</f>
        <v>0</v>
      </c>
      <c r="G11" s="61">
        <f t="shared" si="1"/>
        <v>20105000</v>
      </c>
    </row>
    <row r="12" spans="1:7" s="5" customFormat="1" ht="31.5">
      <c r="A12" s="24" t="s">
        <v>399</v>
      </c>
      <c r="B12" s="1" t="s">
        <v>140</v>
      </c>
      <c r="C12" s="2" t="s">
        <v>602</v>
      </c>
      <c r="D12" s="1" t="s">
        <v>403</v>
      </c>
      <c r="E12" s="51">
        <v>20105000</v>
      </c>
      <c r="F12" s="51"/>
      <c r="G12" s="61">
        <f t="shared" si="1"/>
        <v>20105000</v>
      </c>
    </row>
    <row r="13" spans="1:7" s="5" customFormat="1" ht="31.5">
      <c r="A13" s="23" t="s">
        <v>211</v>
      </c>
      <c r="B13" s="1" t="s">
        <v>140</v>
      </c>
      <c r="C13" s="2" t="s">
        <v>602</v>
      </c>
      <c r="D13" s="1" t="s">
        <v>404</v>
      </c>
      <c r="E13" s="51">
        <f>E14</f>
        <v>3935000</v>
      </c>
      <c r="F13" s="51">
        <f>F14</f>
        <v>0</v>
      </c>
      <c r="G13" s="61">
        <f t="shared" si="1"/>
        <v>3935000</v>
      </c>
    </row>
    <row r="14" spans="1:7" s="5" customFormat="1" ht="31.5">
      <c r="A14" s="23" t="s">
        <v>396</v>
      </c>
      <c r="B14" s="1" t="s">
        <v>140</v>
      </c>
      <c r="C14" s="2" t="s">
        <v>602</v>
      </c>
      <c r="D14" s="1" t="s">
        <v>405</v>
      </c>
      <c r="E14" s="51">
        <v>3935000</v>
      </c>
      <c r="F14" s="51"/>
      <c r="G14" s="61">
        <f t="shared" si="1"/>
        <v>3935000</v>
      </c>
    </row>
    <row r="15" spans="1:7" ht="15.75">
      <c r="A15" s="23" t="s">
        <v>400</v>
      </c>
      <c r="B15" s="1" t="s">
        <v>140</v>
      </c>
      <c r="C15" s="2" t="s">
        <v>602</v>
      </c>
      <c r="D15" s="1" t="s">
        <v>406</v>
      </c>
      <c r="E15" s="51">
        <f>E16</f>
        <v>10000</v>
      </c>
      <c r="F15" s="51">
        <f>F16</f>
        <v>0</v>
      </c>
      <c r="G15" s="61">
        <f t="shared" si="1"/>
        <v>10000</v>
      </c>
    </row>
    <row r="16" spans="1:7" s="4" customFormat="1" ht="15.75">
      <c r="A16" s="23" t="s">
        <v>401</v>
      </c>
      <c r="B16" s="1" t="s">
        <v>140</v>
      </c>
      <c r="C16" s="2" t="s">
        <v>602</v>
      </c>
      <c r="D16" s="1" t="s">
        <v>407</v>
      </c>
      <c r="E16" s="51">
        <v>10000</v>
      </c>
      <c r="F16" s="51"/>
      <c r="G16" s="61">
        <f t="shared" si="1"/>
        <v>10000</v>
      </c>
    </row>
    <row r="17" spans="1:7" s="4" customFormat="1" ht="63">
      <c r="A17" s="10" t="s">
        <v>515</v>
      </c>
      <c r="B17" s="12" t="s">
        <v>516</v>
      </c>
      <c r="C17" s="12"/>
      <c r="D17" s="12"/>
      <c r="E17" s="52">
        <f>E18</f>
        <v>137980687</v>
      </c>
      <c r="F17" s="52">
        <f>F18</f>
        <v>13023740</v>
      </c>
      <c r="G17" s="60">
        <f t="shared" si="1"/>
        <v>151004427</v>
      </c>
    </row>
    <row r="18" spans="1:7" s="4" customFormat="1" ht="15.75">
      <c r="A18" s="27" t="s">
        <v>411</v>
      </c>
      <c r="B18" s="1" t="s">
        <v>516</v>
      </c>
      <c r="C18" s="2" t="s">
        <v>209</v>
      </c>
      <c r="D18" s="12"/>
      <c r="E18" s="53">
        <f>SUM(E19)</f>
        <v>137980687</v>
      </c>
      <c r="F18" s="53">
        <f>SUM(F19)</f>
        <v>13023740</v>
      </c>
      <c r="G18" s="61">
        <f t="shared" si="1"/>
        <v>151004427</v>
      </c>
    </row>
    <row r="19" spans="1:7" s="4" customFormat="1" ht="31.5">
      <c r="A19" s="25" t="s">
        <v>603</v>
      </c>
      <c r="B19" s="1" t="s">
        <v>516</v>
      </c>
      <c r="C19" s="2" t="s">
        <v>208</v>
      </c>
      <c r="D19" s="2"/>
      <c r="E19" s="51">
        <f>SUM(E23,E26,E31,E20)</f>
        <v>137980687</v>
      </c>
      <c r="F19" s="51">
        <f>SUM(F23,F26,F31,F20)</f>
        <v>13023740</v>
      </c>
      <c r="G19" s="61">
        <f t="shared" si="1"/>
        <v>151004427</v>
      </c>
    </row>
    <row r="20" spans="1:7" s="4" customFormat="1" ht="47.25">
      <c r="A20" s="23" t="s">
        <v>295</v>
      </c>
      <c r="B20" s="1" t="s">
        <v>516</v>
      </c>
      <c r="C20" s="2" t="s">
        <v>294</v>
      </c>
      <c r="D20" s="1"/>
      <c r="E20" s="54">
        <f>E21</f>
        <v>562460</v>
      </c>
      <c r="F20" s="54">
        <f>F21</f>
        <v>1093740</v>
      </c>
      <c r="G20" s="61">
        <f>SUM(E20:F20)</f>
        <v>1656200</v>
      </c>
    </row>
    <row r="21" spans="1:7" s="4" customFormat="1" ht="78.75">
      <c r="A21" s="24" t="s">
        <v>398</v>
      </c>
      <c r="B21" s="1" t="s">
        <v>516</v>
      </c>
      <c r="C21" s="2" t="s">
        <v>294</v>
      </c>
      <c r="D21" s="1" t="s">
        <v>402</v>
      </c>
      <c r="E21" s="54">
        <f>E22</f>
        <v>562460</v>
      </c>
      <c r="F21" s="54">
        <f>F22</f>
        <v>1093740</v>
      </c>
      <c r="G21" s="61">
        <f>SUM(E21:F21)</f>
        <v>1656200</v>
      </c>
    </row>
    <row r="22" spans="1:7" s="4" customFormat="1" ht="31.5">
      <c r="A22" s="24" t="s">
        <v>399</v>
      </c>
      <c r="B22" s="1" t="s">
        <v>516</v>
      </c>
      <c r="C22" s="2" t="s">
        <v>294</v>
      </c>
      <c r="D22" s="1" t="s">
        <v>403</v>
      </c>
      <c r="E22" s="54">
        <v>562460</v>
      </c>
      <c r="F22" s="54">
        <v>1093740</v>
      </c>
      <c r="G22" s="61">
        <f>SUM(E22:F22)</f>
        <v>1656200</v>
      </c>
    </row>
    <row r="23" spans="1:7" s="4" customFormat="1" ht="31.5">
      <c r="A23" s="23" t="s">
        <v>438</v>
      </c>
      <c r="B23" s="1" t="s">
        <v>516</v>
      </c>
      <c r="C23" s="2" t="s">
        <v>236</v>
      </c>
      <c r="D23" s="1"/>
      <c r="E23" s="51">
        <f>E24</f>
        <v>318689</v>
      </c>
      <c r="F23" s="51">
        <f>F24</f>
        <v>0</v>
      </c>
      <c r="G23" s="61">
        <f t="shared" si="1"/>
        <v>318689</v>
      </c>
    </row>
    <row r="24" spans="1:7" s="4" customFormat="1" ht="31.5">
      <c r="A24" s="23" t="s">
        <v>211</v>
      </c>
      <c r="B24" s="1" t="s">
        <v>516</v>
      </c>
      <c r="C24" s="2" t="s">
        <v>236</v>
      </c>
      <c r="D24" s="1" t="s">
        <v>404</v>
      </c>
      <c r="E24" s="54">
        <f>E25</f>
        <v>318689</v>
      </c>
      <c r="F24" s="54">
        <f>F25</f>
        <v>0</v>
      </c>
      <c r="G24" s="61">
        <f t="shared" si="1"/>
        <v>318689</v>
      </c>
    </row>
    <row r="25" spans="1:7" s="4" customFormat="1" ht="31.5">
      <c r="A25" s="23" t="s">
        <v>396</v>
      </c>
      <c r="B25" s="1" t="s">
        <v>516</v>
      </c>
      <c r="C25" s="2" t="s">
        <v>236</v>
      </c>
      <c r="D25" s="1" t="s">
        <v>405</v>
      </c>
      <c r="E25" s="54">
        <v>318689</v>
      </c>
      <c r="F25" s="54"/>
      <c r="G25" s="61">
        <f t="shared" si="1"/>
        <v>318689</v>
      </c>
    </row>
    <row r="26" spans="1:7" s="4" customFormat="1" ht="47.25">
      <c r="A26" s="23" t="s">
        <v>498</v>
      </c>
      <c r="B26" s="1" t="s">
        <v>516</v>
      </c>
      <c r="C26" s="2" t="s">
        <v>237</v>
      </c>
      <c r="D26" s="1"/>
      <c r="E26" s="54">
        <f>SUM(E27,E29)</f>
        <v>4039798</v>
      </c>
      <c r="F26" s="54">
        <f>SUM(F27,F29)</f>
        <v>0</v>
      </c>
      <c r="G26" s="61">
        <f t="shared" si="1"/>
        <v>4039798</v>
      </c>
    </row>
    <row r="27" spans="1:7" s="4" customFormat="1" ht="78.75">
      <c r="A27" s="24" t="s">
        <v>398</v>
      </c>
      <c r="B27" s="1" t="s">
        <v>516</v>
      </c>
      <c r="C27" s="2" t="s">
        <v>237</v>
      </c>
      <c r="D27" s="1" t="s">
        <v>402</v>
      </c>
      <c r="E27" s="54">
        <f>E28</f>
        <v>3779000</v>
      </c>
      <c r="F27" s="54">
        <f>F28</f>
        <v>-13250</v>
      </c>
      <c r="G27" s="61">
        <f t="shared" si="1"/>
        <v>3765750</v>
      </c>
    </row>
    <row r="28" spans="1:7" s="4" customFormat="1" ht="31.5">
      <c r="A28" s="24" t="s">
        <v>399</v>
      </c>
      <c r="B28" s="1" t="s">
        <v>516</v>
      </c>
      <c r="C28" s="2" t="s">
        <v>237</v>
      </c>
      <c r="D28" s="1" t="s">
        <v>403</v>
      </c>
      <c r="E28" s="54">
        <v>3779000</v>
      </c>
      <c r="F28" s="54">
        <v>-13250</v>
      </c>
      <c r="G28" s="61">
        <f t="shared" si="1"/>
        <v>3765750</v>
      </c>
    </row>
    <row r="29" spans="1:7" s="4" customFormat="1" ht="31.5">
      <c r="A29" s="23" t="s">
        <v>211</v>
      </c>
      <c r="B29" s="1" t="s">
        <v>516</v>
      </c>
      <c r="C29" s="2" t="s">
        <v>237</v>
      </c>
      <c r="D29" s="1" t="s">
        <v>404</v>
      </c>
      <c r="E29" s="51">
        <f>E30</f>
        <v>260798</v>
      </c>
      <c r="F29" s="51">
        <f>F30</f>
        <v>13250</v>
      </c>
      <c r="G29" s="61">
        <f t="shared" si="1"/>
        <v>274048</v>
      </c>
    </row>
    <row r="30" spans="1:7" s="4" customFormat="1" ht="31.5">
      <c r="A30" s="23" t="s">
        <v>396</v>
      </c>
      <c r="B30" s="1" t="s">
        <v>516</v>
      </c>
      <c r="C30" s="2" t="s">
        <v>237</v>
      </c>
      <c r="D30" s="1" t="s">
        <v>405</v>
      </c>
      <c r="E30" s="51">
        <v>260798</v>
      </c>
      <c r="F30" s="51">
        <v>13250</v>
      </c>
      <c r="G30" s="61">
        <f t="shared" si="1"/>
        <v>274048</v>
      </c>
    </row>
    <row r="31" spans="1:7" s="4" customFormat="1" ht="47.25">
      <c r="A31" s="25" t="s">
        <v>158</v>
      </c>
      <c r="B31" s="1" t="s">
        <v>516</v>
      </c>
      <c r="C31" s="2" t="s">
        <v>585</v>
      </c>
      <c r="D31" s="2"/>
      <c r="E31" s="51">
        <f>SUM(E32,E34,E36)</f>
        <v>133059740</v>
      </c>
      <c r="F31" s="51">
        <f>SUM(F32,F34,F36)</f>
        <v>11930000</v>
      </c>
      <c r="G31" s="61">
        <f t="shared" si="1"/>
        <v>144989740</v>
      </c>
    </row>
    <row r="32" spans="1:7" s="5" customFormat="1" ht="78.75">
      <c r="A32" s="24" t="s">
        <v>398</v>
      </c>
      <c r="B32" s="1" t="s">
        <v>516</v>
      </c>
      <c r="C32" s="2" t="s">
        <v>585</v>
      </c>
      <c r="D32" s="1" t="s">
        <v>402</v>
      </c>
      <c r="E32" s="51">
        <f>E33</f>
        <v>120158000</v>
      </c>
      <c r="F32" s="51">
        <f>F33</f>
        <v>5850000</v>
      </c>
      <c r="G32" s="61">
        <f t="shared" si="1"/>
        <v>126008000</v>
      </c>
    </row>
    <row r="33" spans="1:7" s="4" customFormat="1" ht="31.5">
      <c r="A33" s="24" t="s">
        <v>399</v>
      </c>
      <c r="B33" s="1" t="s">
        <v>516</v>
      </c>
      <c r="C33" s="2" t="s">
        <v>585</v>
      </c>
      <c r="D33" s="1" t="s">
        <v>403</v>
      </c>
      <c r="E33" s="51">
        <v>120158000</v>
      </c>
      <c r="F33" s="51">
        <f>5850000</f>
        <v>5850000</v>
      </c>
      <c r="G33" s="61">
        <f t="shared" si="1"/>
        <v>126008000</v>
      </c>
    </row>
    <row r="34" spans="1:7" s="4" customFormat="1" ht="31.5">
      <c r="A34" s="23" t="s">
        <v>211</v>
      </c>
      <c r="B34" s="1" t="s">
        <v>516</v>
      </c>
      <c r="C34" s="2" t="s">
        <v>585</v>
      </c>
      <c r="D34" s="1" t="s">
        <v>404</v>
      </c>
      <c r="E34" s="51">
        <f>E35</f>
        <v>12753740</v>
      </c>
      <c r="F34" s="51">
        <f>F35</f>
        <v>6080000</v>
      </c>
      <c r="G34" s="61">
        <f t="shared" si="1"/>
        <v>18833740</v>
      </c>
    </row>
    <row r="35" spans="1:7" s="4" customFormat="1" ht="31.5">
      <c r="A35" s="23" t="s">
        <v>396</v>
      </c>
      <c r="B35" s="1" t="s">
        <v>516</v>
      </c>
      <c r="C35" s="2" t="s">
        <v>585</v>
      </c>
      <c r="D35" s="1" t="s">
        <v>405</v>
      </c>
      <c r="E35" s="51">
        <v>12753740</v>
      </c>
      <c r="F35" s="51">
        <f>6080000</f>
        <v>6080000</v>
      </c>
      <c r="G35" s="61">
        <f t="shared" si="1"/>
        <v>18833740</v>
      </c>
    </row>
    <row r="36" spans="1:7" s="4" customFormat="1" ht="15.75">
      <c r="A36" s="23" t="s">
        <v>400</v>
      </c>
      <c r="B36" s="1" t="s">
        <v>516</v>
      </c>
      <c r="C36" s="2" t="s">
        <v>585</v>
      </c>
      <c r="D36" s="1" t="s">
        <v>406</v>
      </c>
      <c r="E36" s="51">
        <f>E37</f>
        <v>148000</v>
      </c>
      <c r="F36" s="51">
        <f>F37</f>
        <v>0</v>
      </c>
      <c r="G36" s="61">
        <f t="shared" si="1"/>
        <v>148000</v>
      </c>
    </row>
    <row r="37" spans="1:7" s="4" customFormat="1" ht="15.75">
      <c r="A37" s="23" t="s">
        <v>401</v>
      </c>
      <c r="B37" s="1" t="s">
        <v>516</v>
      </c>
      <c r="C37" s="2" t="s">
        <v>585</v>
      </c>
      <c r="D37" s="1" t="s">
        <v>407</v>
      </c>
      <c r="E37" s="51">
        <v>148000</v>
      </c>
      <c r="F37" s="51"/>
      <c r="G37" s="61">
        <f t="shared" si="1"/>
        <v>148000</v>
      </c>
    </row>
    <row r="38" spans="1:7" s="5" customFormat="1" ht="47.25">
      <c r="A38" s="10" t="s">
        <v>105</v>
      </c>
      <c r="B38" s="12" t="s">
        <v>106</v>
      </c>
      <c r="C38" s="2"/>
      <c r="D38" s="2"/>
      <c r="E38" s="50">
        <f>E39</f>
        <v>34139000</v>
      </c>
      <c r="F38" s="50">
        <f>F39</f>
        <v>0</v>
      </c>
      <c r="G38" s="60">
        <f t="shared" si="1"/>
        <v>34139000</v>
      </c>
    </row>
    <row r="39" spans="1:7" s="4" customFormat="1" ht="15.75">
      <c r="A39" s="27" t="s">
        <v>411</v>
      </c>
      <c r="B39" s="1" t="s">
        <v>106</v>
      </c>
      <c r="C39" s="2" t="s">
        <v>209</v>
      </c>
      <c r="D39" s="12"/>
      <c r="E39" s="53">
        <f>E40</f>
        <v>34139000</v>
      </c>
      <c r="F39" s="53">
        <f>F40</f>
        <v>0</v>
      </c>
      <c r="G39" s="61">
        <f t="shared" si="1"/>
        <v>34139000</v>
      </c>
    </row>
    <row r="40" spans="1:7" s="4" customFormat="1" ht="31.5">
      <c r="A40" s="25" t="s">
        <v>603</v>
      </c>
      <c r="B40" s="1" t="s">
        <v>106</v>
      </c>
      <c r="C40" s="2" t="s">
        <v>208</v>
      </c>
      <c r="D40" s="2"/>
      <c r="E40" s="51">
        <f>E48+E41</f>
        <v>34139000</v>
      </c>
      <c r="F40" s="51">
        <f>F48+F41</f>
        <v>0</v>
      </c>
      <c r="G40" s="61">
        <f t="shared" si="1"/>
        <v>34139000</v>
      </c>
    </row>
    <row r="41" spans="1:7" s="4" customFormat="1" ht="47.25">
      <c r="A41" s="25" t="s">
        <v>160</v>
      </c>
      <c r="B41" s="1" t="s">
        <v>106</v>
      </c>
      <c r="C41" s="2" t="s">
        <v>601</v>
      </c>
      <c r="D41" s="2"/>
      <c r="E41" s="51">
        <f>SUM(E42,E44,E46)</f>
        <v>9315000</v>
      </c>
      <c r="F41" s="51">
        <f>SUM(F42,F44,F46)</f>
        <v>0</v>
      </c>
      <c r="G41" s="61">
        <f t="shared" si="1"/>
        <v>9315000</v>
      </c>
    </row>
    <row r="42" spans="1:7" s="4" customFormat="1" ht="78.75">
      <c r="A42" s="24" t="s">
        <v>398</v>
      </c>
      <c r="B42" s="1" t="s">
        <v>106</v>
      </c>
      <c r="C42" s="2" t="s">
        <v>601</v>
      </c>
      <c r="D42" s="1" t="s">
        <v>402</v>
      </c>
      <c r="E42" s="54">
        <f>E43</f>
        <v>7150200</v>
      </c>
      <c r="F42" s="54">
        <f>F43</f>
        <v>0</v>
      </c>
      <c r="G42" s="61">
        <f t="shared" si="1"/>
        <v>7150200</v>
      </c>
    </row>
    <row r="43" spans="1:7" s="4" customFormat="1" ht="31.5">
      <c r="A43" s="24" t="s">
        <v>399</v>
      </c>
      <c r="B43" s="1" t="s">
        <v>106</v>
      </c>
      <c r="C43" s="2" t="s">
        <v>601</v>
      </c>
      <c r="D43" s="1" t="s">
        <v>403</v>
      </c>
      <c r="E43" s="54">
        <v>7150200</v>
      </c>
      <c r="F43" s="54"/>
      <c r="G43" s="61">
        <f t="shared" si="1"/>
        <v>7150200</v>
      </c>
    </row>
    <row r="44" spans="1:7" s="4" customFormat="1" ht="31.5">
      <c r="A44" s="23" t="s">
        <v>211</v>
      </c>
      <c r="B44" s="1" t="s">
        <v>106</v>
      </c>
      <c r="C44" s="2" t="s">
        <v>601</v>
      </c>
      <c r="D44" s="1" t="s">
        <v>404</v>
      </c>
      <c r="E44" s="54">
        <f>E45</f>
        <v>2133800</v>
      </c>
      <c r="F44" s="54">
        <f>F45</f>
        <v>0</v>
      </c>
      <c r="G44" s="61">
        <f t="shared" si="1"/>
        <v>2133800</v>
      </c>
    </row>
    <row r="45" spans="1:7" s="4" customFormat="1" ht="31.5">
      <c r="A45" s="23" t="s">
        <v>396</v>
      </c>
      <c r="B45" s="1" t="s">
        <v>106</v>
      </c>
      <c r="C45" s="2" t="s">
        <v>601</v>
      </c>
      <c r="D45" s="1" t="s">
        <v>405</v>
      </c>
      <c r="E45" s="54">
        <v>2133800</v>
      </c>
      <c r="F45" s="54"/>
      <c r="G45" s="61">
        <f t="shared" si="1"/>
        <v>2133800</v>
      </c>
    </row>
    <row r="46" spans="1:7" s="4" customFormat="1" ht="15.75">
      <c r="A46" s="23" t="s">
        <v>400</v>
      </c>
      <c r="B46" s="1" t="s">
        <v>106</v>
      </c>
      <c r="C46" s="2" t="s">
        <v>601</v>
      </c>
      <c r="D46" s="1" t="s">
        <v>406</v>
      </c>
      <c r="E46" s="54">
        <f>E47</f>
        <v>31000</v>
      </c>
      <c r="F46" s="54">
        <f>F47</f>
        <v>0</v>
      </c>
      <c r="G46" s="61">
        <f t="shared" si="1"/>
        <v>31000</v>
      </c>
    </row>
    <row r="47" spans="1:7" s="4" customFormat="1" ht="15.75">
      <c r="A47" s="23" t="s">
        <v>401</v>
      </c>
      <c r="B47" s="1" t="s">
        <v>106</v>
      </c>
      <c r="C47" s="2" t="s">
        <v>601</v>
      </c>
      <c r="D47" s="1" t="s">
        <v>407</v>
      </c>
      <c r="E47" s="54">
        <v>31000</v>
      </c>
      <c r="F47" s="54"/>
      <c r="G47" s="61">
        <f t="shared" si="1"/>
        <v>31000</v>
      </c>
    </row>
    <row r="48" spans="1:7" s="4" customFormat="1" ht="31.5">
      <c r="A48" s="25" t="s">
        <v>161</v>
      </c>
      <c r="B48" s="1" t="s">
        <v>106</v>
      </c>
      <c r="C48" s="2" t="s">
        <v>594</v>
      </c>
      <c r="D48" s="2"/>
      <c r="E48" s="51">
        <f>SUM(E49,E51,E53)</f>
        <v>24824000</v>
      </c>
      <c r="F48" s="51">
        <f>SUM(F49,F51,F53)</f>
        <v>0</v>
      </c>
      <c r="G48" s="61">
        <f t="shared" si="1"/>
        <v>24824000</v>
      </c>
    </row>
    <row r="49" spans="1:7" s="4" customFormat="1" ht="78.75">
      <c r="A49" s="24" t="s">
        <v>398</v>
      </c>
      <c r="B49" s="1" t="s">
        <v>106</v>
      </c>
      <c r="C49" s="2" t="s">
        <v>594</v>
      </c>
      <c r="D49" s="1" t="s">
        <v>402</v>
      </c>
      <c r="E49" s="51">
        <f>E50</f>
        <v>21141000</v>
      </c>
      <c r="F49" s="51">
        <f>F50</f>
        <v>27000</v>
      </c>
      <c r="G49" s="61">
        <f t="shared" si="1"/>
        <v>21168000</v>
      </c>
    </row>
    <row r="50" spans="1:7" s="4" customFormat="1" ht="31.5">
      <c r="A50" s="24" t="s">
        <v>399</v>
      </c>
      <c r="B50" s="1" t="s">
        <v>106</v>
      </c>
      <c r="C50" s="2" t="s">
        <v>594</v>
      </c>
      <c r="D50" s="1" t="s">
        <v>403</v>
      </c>
      <c r="E50" s="51">
        <v>21141000</v>
      </c>
      <c r="F50" s="51">
        <f>27000</f>
        <v>27000</v>
      </c>
      <c r="G50" s="61">
        <f t="shared" si="1"/>
        <v>21168000</v>
      </c>
    </row>
    <row r="51" spans="1:7" s="4" customFormat="1" ht="31.5">
      <c r="A51" s="23" t="s">
        <v>211</v>
      </c>
      <c r="B51" s="1" t="s">
        <v>106</v>
      </c>
      <c r="C51" s="2" t="s">
        <v>594</v>
      </c>
      <c r="D51" s="1" t="s">
        <v>404</v>
      </c>
      <c r="E51" s="51">
        <f>E52</f>
        <v>3633000</v>
      </c>
      <c r="F51" s="51">
        <f>F52</f>
        <v>-27000</v>
      </c>
      <c r="G51" s="61">
        <f t="shared" si="1"/>
        <v>3606000</v>
      </c>
    </row>
    <row r="52" spans="1:7" s="4" customFormat="1" ht="31.5">
      <c r="A52" s="23" t="s">
        <v>396</v>
      </c>
      <c r="B52" s="1" t="s">
        <v>106</v>
      </c>
      <c r="C52" s="2" t="s">
        <v>594</v>
      </c>
      <c r="D52" s="1" t="s">
        <v>405</v>
      </c>
      <c r="E52" s="51">
        <v>3633000</v>
      </c>
      <c r="F52" s="51">
        <f>-27000</f>
        <v>-27000</v>
      </c>
      <c r="G52" s="61">
        <f t="shared" si="1"/>
        <v>3606000</v>
      </c>
    </row>
    <row r="53" spans="1:7" s="4" customFormat="1" ht="15.75">
      <c r="A53" s="23" t="s">
        <v>400</v>
      </c>
      <c r="B53" s="1" t="s">
        <v>106</v>
      </c>
      <c r="C53" s="2" t="s">
        <v>594</v>
      </c>
      <c r="D53" s="1" t="s">
        <v>406</v>
      </c>
      <c r="E53" s="51">
        <f>E54</f>
        <v>50000</v>
      </c>
      <c r="F53" s="51">
        <f>F54</f>
        <v>0</v>
      </c>
      <c r="G53" s="61">
        <f t="shared" si="1"/>
        <v>50000</v>
      </c>
    </row>
    <row r="54" spans="1:7" s="4" customFormat="1" ht="15.75">
      <c r="A54" s="23" t="s">
        <v>401</v>
      </c>
      <c r="B54" s="1" t="s">
        <v>106</v>
      </c>
      <c r="C54" s="2" t="s">
        <v>594</v>
      </c>
      <c r="D54" s="1" t="s">
        <v>407</v>
      </c>
      <c r="E54" s="51">
        <v>50000</v>
      </c>
      <c r="F54" s="51"/>
      <c r="G54" s="61">
        <f t="shared" si="1"/>
        <v>50000</v>
      </c>
    </row>
    <row r="55" spans="1:7" s="4" customFormat="1" ht="15.75">
      <c r="A55" s="66" t="s">
        <v>337</v>
      </c>
      <c r="B55" s="12" t="s">
        <v>339</v>
      </c>
      <c r="C55" s="16"/>
      <c r="D55" s="12"/>
      <c r="E55" s="50">
        <f aca="true" t="shared" si="2" ref="E55:F59">E56</f>
        <v>0</v>
      </c>
      <c r="F55" s="50">
        <f t="shared" si="2"/>
        <v>497678</v>
      </c>
      <c r="G55" s="60">
        <f aca="true" t="shared" si="3" ref="G55:G60">SUM(E55:F55)</f>
        <v>497678</v>
      </c>
    </row>
    <row r="56" spans="1:7" s="4" customFormat="1" ht="15.75">
      <c r="A56" s="27" t="s">
        <v>411</v>
      </c>
      <c r="B56" s="1" t="s">
        <v>339</v>
      </c>
      <c r="C56" s="2" t="s">
        <v>209</v>
      </c>
      <c r="D56" s="1"/>
      <c r="E56" s="51">
        <f t="shared" si="2"/>
        <v>0</v>
      </c>
      <c r="F56" s="51">
        <f t="shared" si="2"/>
        <v>497678</v>
      </c>
      <c r="G56" s="61">
        <f t="shared" si="3"/>
        <v>497678</v>
      </c>
    </row>
    <row r="57" spans="1:7" s="4" customFormat="1" ht="47.25">
      <c r="A57" s="25" t="s">
        <v>604</v>
      </c>
      <c r="B57" s="1" t="s">
        <v>339</v>
      </c>
      <c r="C57" s="2" t="s">
        <v>583</v>
      </c>
      <c r="D57" s="1"/>
      <c r="E57" s="51">
        <f t="shared" si="2"/>
        <v>0</v>
      </c>
      <c r="F57" s="51">
        <f t="shared" si="2"/>
        <v>497678</v>
      </c>
      <c r="G57" s="61">
        <f t="shared" si="3"/>
        <v>497678</v>
      </c>
    </row>
    <row r="58" spans="1:7" s="4" customFormat="1" ht="31.5">
      <c r="A58" s="23" t="s">
        <v>338</v>
      </c>
      <c r="B58" s="1" t="s">
        <v>339</v>
      </c>
      <c r="C58" s="2" t="s">
        <v>340</v>
      </c>
      <c r="D58" s="1"/>
      <c r="E58" s="51">
        <f t="shared" si="2"/>
        <v>0</v>
      </c>
      <c r="F58" s="51">
        <f t="shared" si="2"/>
        <v>497678</v>
      </c>
      <c r="G58" s="61">
        <f t="shared" si="3"/>
        <v>497678</v>
      </c>
    </row>
    <row r="59" spans="1:7" s="4" customFormat="1" ht="15.75">
      <c r="A59" s="23" t="s">
        <v>400</v>
      </c>
      <c r="B59" s="1" t="s">
        <v>339</v>
      </c>
      <c r="C59" s="2" t="s">
        <v>340</v>
      </c>
      <c r="D59" s="1" t="s">
        <v>406</v>
      </c>
      <c r="E59" s="51">
        <f t="shared" si="2"/>
        <v>0</v>
      </c>
      <c r="F59" s="51">
        <f t="shared" si="2"/>
        <v>497678</v>
      </c>
      <c r="G59" s="61">
        <f t="shared" si="3"/>
        <v>497678</v>
      </c>
    </row>
    <row r="60" spans="1:7" s="4" customFormat="1" ht="15.75">
      <c r="A60" s="25" t="s">
        <v>420</v>
      </c>
      <c r="B60" s="1" t="s">
        <v>339</v>
      </c>
      <c r="C60" s="2" t="s">
        <v>340</v>
      </c>
      <c r="D60" s="1" t="s">
        <v>341</v>
      </c>
      <c r="E60" s="51"/>
      <c r="F60" s="51">
        <v>497678</v>
      </c>
      <c r="G60" s="61">
        <f t="shared" si="3"/>
        <v>497678</v>
      </c>
    </row>
    <row r="61" spans="1:7" s="4" customFormat="1" ht="15.75">
      <c r="A61" s="10" t="s">
        <v>117</v>
      </c>
      <c r="B61" s="12" t="s">
        <v>118</v>
      </c>
      <c r="C61" s="2"/>
      <c r="D61" s="2"/>
      <c r="E61" s="50">
        <f>E62</f>
        <v>10000000</v>
      </c>
      <c r="F61" s="50">
        <f>F62</f>
        <v>0</v>
      </c>
      <c r="G61" s="60">
        <f t="shared" si="1"/>
        <v>10000000</v>
      </c>
    </row>
    <row r="62" spans="1:7" s="4" customFormat="1" ht="15.75">
      <c r="A62" s="27" t="s">
        <v>411</v>
      </c>
      <c r="B62" s="1" t="s">
        <v>118</v>
      </c>
      <c r="C62" s="2" t="s">
        <v>209</v>
      </c>
      <c r="D62" s="2"/>
      <c r="E62" s="51">
        <f>E63</f>
        <v>10000000</v>
      </c>
      <c r="F62" s="51">
        <f>F63</f>
        <v>0</v>
      </c>
      <c r="G62" s="61">
        <f t="shared" si="1"/>
        <v>10000000</v>
      </c>
    </row>
    <row r="63" spans="1:7" s="4" customFormat="1" ht="15.75">
      <c r="A63" s="25" t="s">
        <v>422</v>
      </c>
      <c r="B63" s="1" t="s">
        <v>118</v>
      </c>
      <c r="C63" s="2" t="s">
        <v>63</v>
      </c>
      <c r="D63" s="2"/>
      <c r="E63" s="51">
        <f>SUM(E64,E67)</f>
        <v>10000000</v>
      </c>
      <c r="F63" s="51">
        <f>SUM(F64,F67)</f>
        <v>0</v>
      </c>
      <c r="G63" s="61">
        <f t="shared" si="1"/>
        <v>10000000</v>
      </c>
    </row>
    <row r="64" spans="1:7" s="4" customFormat="1" ht="15.75">
      <c r="A64" s="25" t="s">
        <v>412</v>
      </c>
      <c r="B64" s="1" t="s">
        <v>118</v>
      </c>
      <c r="C64" s="2" t="s">
        <v>595</v>
      </c>
      <c r="D64" s="2"/>
      <c r="E64" s="51">
        <f>E65</f>
        <v>7200000</v>
      </c>
      <c r="F64" s="51">
        <f>F65</f>
        <v>0</v>
      </c>
      <c r="G64" s="61">
        <f t="shared" si="1"/>
        <v>7200000</v>
      </c>
    </row>
    <row r="65" spans="1:7" s="4" customFormat="1" ht="15.75">
      <c r="A65" s="23" t="s">
        <v>400</v>
      </c>
      <c r="B65" s="1" t="s">
        <v>118</v>
      </c>
      <c r="C65" s="2" t="s">
        <v>595</v>
      </c>
      <c r="D65" s="2">
        <v>800</v>
      </c>
      <c r="E65" s="51">
        <f>E66</f>
        <v>7200000</v>
      </c>
      <c r="F65" s="51">
        <f>F66</f>
        <v>0</v>
      </c>
      <c r="G65" s="61">
        <f t="shared" si="1"/>
        <v>7200000</v>
      </c>
    </row>
    <row r="66" spans="1:7" s="4" customFormat="1" ht="15.75">
      <c r="A66" s="25" t="s">
        <v>421</v>
      </c>
      <c r="B66" s="1" t="s">
        <v>118</v>
      </c>
      <c r="C66" s="2" t="s">
        <v>595</v>
      </c>
      <c r="D66" s="2">
        <v>870</v>
      </c>
      <c r="E66" s="51">
        <v>7200000</v>
      </c>
      <c r="F66" s="51"/>
      <c r="G66" s="61">
        <f t="shared" si="1"/>
        <v>7200000</v>
      </c>
    </row>
    <row r="67" spans="1:7" s="4" customFormat="1" ht="47.25">
      <c r="A67" s="25" t="s">
        <v>436</v>
      </c>
      <c r="B67" s="1" t="s">
        <v>118</v>
      </c>
      <c r="C67" s="2" t="s">
        <v>596</v>
      </c>
      <c r="D67" s="2"/>
      <c r="E67" s="51">
        <f>E68</f>
        <v>2800000</v>
      </c>
      <c r="F67" s="51">
        <f>F68</f>
        <v>0</v>
      </c>
      <c r="G67" s="61">
        <f t="shared" si="1"/>
        <v>2800000</v>
      </c>
    </row>
    <row r="68" spans="1:7" s="4" customFormat="1" ht="15.75">
      <c r="A68" s="23" t="s">
        <v>400</v>
      </c>
      <c r="B68" s="1" t="s">
        <v>118</v>
      </c>
      <c r="C68" s="2" t="s">
        <v>596</v>
      </c>
      <c r="D68" s="2">
        <v>800</v>
      </c>
      <c r="E68" s="51">
        <f>E69</f>
        <v>2800000</v>
      </c>
      <c r="F68" s="51">
        <f>F69</f>
        <v>0</v>
      </c>
      <c r="G68" s="61">
        <f t="shared" si="1"/>
        <v>2800000</v>
      </c>
    </row>
    <row r="69" spans="1:7" s="4" customFormat="1" ht="15.75">
      <c r="A69" s="25" t="s">
        <v>421</v>
      </c>
      <c r="B69" s="1" t="s">
        <v>118</v>
      </c>
      <c r="C69" s="2" t="s">
        <v>596</v>
      </c>
      <c r="D69" s="2">
        <v>870</v>
      </c>
      <c r="E69" s="51">
        <v>2800000</v>
      </c>
      <c r="F69" s="51"/>
      <c r="G69" s="61">
        <f t="shared" si="1"/>
        <v>2800000</v>
      </c>
    </row>
    <row r="70" spans="1:7" s="4" customFormat="1" ht="15.75">
      <c r="A70" s="10" t="s">
        <v>517</v>
      </c>
      <c r="B70" s="12" t="s">
        <v>518</v>
      </c>
      <c r="C70" s="15"/>
      <c r="D70" s="15"/>
      <c r="E70" s="50">
        <f>SUM(E71,E83,E94,E113)</f>
        <v>89508300</v>
      </c>
      <c r="F70" s="50">
        <f>SUM(F71,F83,F94,F113)</f>
        <v>1508501</v>
      </c>
      <c r="G70" s="60">
        <f t="shared" si="1"/>
        <v>91016801</v>
      </c>
    </row>
    <row r="71" spans="1:7" s="4" customFormat="1" ht="31.5">
      <c r="A71" s="25" t="s">
        <v>186</v>
      </c>
      <c r="B71" s="1" t="s">
        <v>518</v>
      </c>
      <c r="C71" s="2" t="s">
        <v>569</v>
      </c>
      <c r="D71" s="2"/>
      <c r="E71" s="51">
        <f>SUM(E72)</f>
        <v>17190000</v>
      </c>
      <c r="F71" s="51">
        <f>SUM(F72)</f>
        <v>1508501</v>
      </c>
      <c r="G71" s="61">
        <f t="shared" si="1"/>
        <v>18698501</v>
      </c>
    </row>
    <row r="72" spans="1:7" s="5" customFormat="1" ht="15.75">
      <c r="A72" s="26" t="s">
        <v>169</v>
      </c>
      <c r="B72" s="1" t="s">
        <v>518</v>
      </c>
      <c r="C72" s="2" t="s">
        <v>568</v>
      </c>
      <c r="D72" s="2"/>
      <c r="E72" s="51">
        <f>SUM(E73,E80)</f>
        <v>17190000</v>
      </c>
      <c r="F72" s="51">
        <f>SUM(F73,F80)</f>
        <v>1508501</v>
      </c>
      <c r="G72" s="61">
        <f t="shared" si="1"/>
        <v>18698501</v>
      </c>
    </row>
    <row r="73" spans="1:7" ht="15.75">
      <c r="A73" s="26" t="s">
        <v>195</v>
      </c>
      <c r="B73" s="1" t="s">
        <v>518</v>
      </c>
      <c r="C73" s="2" t="s">
        <v>566</v>
      </c>
      <c r="D73" s="2"/>
      <c r="E73" s="51">
        <f>SUM(E74,E76,E78)</f>
        <v>15190000</v>
      </c>
      <c r="F73" s="51">
        <f>SUM(F74,F76,F78)</f>
        <v>1508501</v>
      </c>
      <c r="G73" s="61">
        <f t="shared" si="1"/>
        <v>16698501</v>
      </c>
    </row>
    <row r="74" spans="1:7" s="4" customFormat="1" ht="78.75">
      <c r="A74" s="24" t="s">
        <v>398</v>
      </c>
      <c r="B74" s="1" t="s">
        <v>518</v>
      </c>
      <c r="C74" s="2" t="s">
        <v>566</v>
      </c>
      <c r="D74" s="2">
        <v>100</v>
      </c>
      <c r="E74" s="51">
        <f>E75</f>
        <v>11900000</v>
      </c>
      <c r="F74" s="51">
        <f>F75</f>
        <v>0</v>
      </c>
      <c r="G74" s="61">
        <f t="shared" si="1"/>
        <v>11900000</v>
      </c>
    </row>
    <row r="75" spans="1:7" s="4" customFormat="1" ht="15.75">
      <c r="A75" s="24" t="s">
        <v>408</v>
      </c>
      <c r="B75" s="1" t="s">
        <v>518</v>
      </c>
      <c r="C75" s="2" t="s">
        <v>566</v>
      </c>
      <c r="D75" s="2">
        <v>110</v>
      </c>
      <c r="E75" s="51">
        <v>11900000</v>
      </c>
      <c r="F75" s="51">
        <f>-300000+300000</f>
        <v>0</v>
      </c>
      <c r="G75" s="61">
        <f t="shared" si="1"/>
        <v>11900000</v>
      </c>
    </row>
    <row r="76" spans="1:7" ht="31.5">
      <c r="A76" s="23" t="s">
        <v>211</v>
      </c>
      <c r="B76" s="1" t="s">
        <v>518</v>
      </c>
      <c r="C76" s="2" t="s">
        <v>566</v>
      </c>
      <c r="D76" s="2">
        <v>200</v>
      </c>
      <c r="E76" s="51">
        <f>E77</f>
        <v>2890000</v>
      </c>
      <c r="F76" s="51">
        <f>F77</f>
        <v>1508501</v>
      </c>
      <c r="G76" s="61">
        <f t="shared" si="1"/>
        <v>4398501</v>
      </c>
    </row>
    <row r="77" spans="1:7" s="4" customFormat="1" ht="31.5">
      <c r="A77" s="23" t="s">
        <v>396</v>
      </c>
      <c r="B77" s="1" t="s">
        <v>518</v>
      </c>
      <c r="C77" s="2" t="s">
        <v>566</v>
      </c>
      <c r="D77" s="2">
        <v>240</v>
      </c>
      <c r="E77" s="51">
        <v>2890000</v>
      </c>
      <c r="F77" s="51">
        <f>300000+408501+800000</f>
        <v>1508501</v>
      </c>
      <c r="G77" s="61">
        <f t="shared" si="1"/>
        <v>4398501</v>
      </c>
    </row>
    <row r="78" spans="1:7" s="4" customFormat="1" ht="15.75">
      <c r="A78" s="23" t="s">
        <v>400</v>
      </c>
      <c r="B78" s="1" t="s">
        <v>518</v>
      </c>
      <c r="C78" s="2" t="s">
        <v>566</v>
      </c>
      <c r="D78" s="2">
        <v>800</v>
      </c>
      <c r="E78" s="51">
        <f>E79</f>
        <v>400000</v>
      </c>
      <c r="F78" s="51">
        <f>F79</f>
        <v>0</v>
      </c>
      <c r="G78" s="61">
        <f t="shared" si="1"/>
        <v>400000</v>
      </c>
    </row>
    <row r="79" spans="1:7" s="4" customFormat="1" ht="15.75">
      <c r="A79" s="23" t="s">
        <v>401</v>
      </c>
      <c r="B79" s="1" t="s">
        <v>518</v>
      </c>
      <c r="C79" s="2" t="s">
        <v>566</v>
      </c>
      <c r="D79" s="2">
        <v>850</v>
      </c>
      <c r="E79" s="51">
        <v>400000</v>
      </c>
      <c r="F79" s="51"/>
      <c r="G79" s="61">
        <f t="shared" si="1"/>
        <v>400000</v>
      </c>
    </row>
    <row r="80" spans="1:7" s="4" customFormat="1" ht="31.5">
      <c r="A80" s="26" t="s">
        <v>435</v>
      </c>
      <c r="B80" s="1" t="s">
        <v>518</v>
      </c>
      <c r="C80" s="2" t="s">
        <v>567</v>
      </c>
      <c r="D80" s="2"/>
      <c r="E80" s="51">
        <f>E81</f>
        <v>2000000</v>
      </c>
      <c r="F80" s="51">
        <f>F81</f>
        <v>0</v>
      </c>
      <c r="G80" s="61">
        <f t="shared" si="1"/>
        <v>2000000</v>
      </c>
    </row>
    <row r="81" spans="1:7" s="4" customFormat="1" ht="31.5">
      <c r="A81" s="23" t="s">
        <v>211</v>
      </c>
      <c r="B81" s="1" t="s">
        <v>518</v>
      </c>
      <c r="C81" s="2" t="s">
        <v>567</v>
      </c>
      <c r="D81" s="2">
        <v>200</v>
      </c>
      <c r="E81" s="51">
        <f>E82</f>
        <v>2000000</v>
      </c>
      <c r="F81" s="51">
        <f>F82</f>
        <v>0</v>
      </c>
      <c r="G81" s="61">
        <f t="shared" si="1"/>
        <v>2000000</v>
      </c>
    </row>
    <row r="82" spans="1:7" s="4" customFormat="1" ht="31.5">
      <c r="A82" s="48" t="s">
        <v>396</v>
      </c>
      <c r="B82" s="1" t="s">
        <v>518</v>
      </c>
      <c r="C82" s="2" t="s">
        <v>567</v>
      </c>
      <c r="D82" s="2">
        <v>240</v>
      </c>
      <c r="E82" s="54">
        <v>2000000</v>
      </c>
      <c r="F82" s="54"/>
      <c r="G82" s="61">
        <f t="shared" si="1"/>
        <v>2000000</v>
      </c>
    </row>
    <row r="83" spans="1:7" s="4" customFormat="1" ht="47.25">
      <c r="A83" s="25" t="s">
        <v>196</v>
      </c>
      <c r="B83" s="1" t="s">
        <v>518</v>
      </c>
      <c r="C83" s="2" t="s">
        <v>570</v>
      </c>
      <c r="D83" s="2"/>
      <c r="E83" s="51">
        <f>SUM(E84)</f>
        <v>2650000</v>
      </c>
      <c r="F83" s="51">
        <f>SUM(F84)</f>
        <v>0</v>
      </c>
      <c r="G83" s="61">
        <f aca="true" t="shared" si="4" ref="G83:G149">SUM(E83:F83)</f>
        <v>2650000</v>
      </c>
    </row>
    <row r="84" spans="1:7" s="4" customFormat="1" ht="47.25">
      <c r="A84" s="26" t="s">
        <v>162</v>
      </c>
      <c r="B84" s="1" t="s">
        <v>518</v>
      </c>
      <c r="C84" s="2" t="s">
        <v>574</v>
      </c>
      <c r="D84" s="2"/>
      <c r="E84" s="51">
        <f>SUM(E85,E88,E91)</f>
        <v>2650000</v>
      </c>
      <c r="F84" s="51">
        <f>SUM(F85,F88,F91)</f>
        <v>0</v>
      </c>
      <c r="G84" s="61">
        <f t="shared" si="4"/>
        <v>2650000</v>
      </c>
    </row>
    <row r="85" spans="1:7" s="5" customFormat="1" ht="31.5">
      <c r="A85" s="26" t="s">
        <v>304</v>
      </c>
      <c r="B85" s="1" t="s">
        <v>518</v>
      </c>
      <c r="C85" s="2" t="s">
        <v>571</v>
      </c>
      <c r="D85" s="2"/>
      <c r="E85" s="51">
        <f>E86</f>
        <v>1700000</v>
      </c>
      <c r="F85" s="51">
        <f>F86</f>
        <v>0</v>
      </c>
      <c r="G85" s="61">
        <f t="shared" si="4"/>
        <v>1700000</v>
      </c>
    </row>
    <row r="86" spans="1:7" ht="31.5">
      <c r="A86" s="23" t="s">
        <v>211</v>
      </c>
      <c r="B86" s="1" t="s">
        <v>518</v>
      </c>
      <c r="C86" s="2" t="s">
        <v>571</v>
      </c>
      <c r="D86" s="2">
        <v>200</v>
      </c>
      <c r="E86" s="51">
        <f>E87</f>
        <v>1700000</v>
      </c>
      <c r="F86" s="51">
        <f>F87</f>
        <v>0</v>
      </c>
      <c r="G86" s="61">
        <f t="shared" si="4"/>
        <v>1700000</v>
      </c>
    </row>
    <row r="87" spans="1:7" s="4" customFormat="1" ht="31.5">
      <c r="A87" s="23" t="s">
        <v>396</v>
      </c>
      <c r="B87" s="1" t="s">
        <v>518</v>
      </c>
      <c r="C87" s="2" t="s">
        <v>571</v>
      </c>
      <c r="D87" s="2">
        <v>240</v>
      </c>
      <c r="E87" s="51">
        <v>1700000</v>
      </c>
      <c r="F87" s="51"/>
      <c r="G87" s="61">
        <f t="shared" si="4"/>
        <v>1700000</v>
      </c>
    </row>
    <row r="88" spans="1:7" s="4" customFormat="1" ht="31.5">
      <c r="A88" s="26" t="s">
        <v>490</v>
      </c>
      <c r="B88" s="1" t="s">
        <v>518</v>
      </c>
      <c r="C88" s="2" t="s">
        <v>572</v>
      </c>
      <c r="D88" s="2"/>
      <c r="E88" s="51">
        <f>E89</f>
        <v>500000</v>
      </c>
      <c r="F88" s="51">
        <f>F89</f>
        <v>0</v>
      </c>
      <c r="G88" s="61">
        <f t="shared" si="4"/>
        <v>500000</v>
      </c>
    </row>
    <row r="89" spans="1:7" ht="31.5">
      <c r="A89" s="23" t="s">
        <v>392</v>
      </c>
      <c r="B89" s="1" t="s">
        <v>518</v>
      </c>
      <c r="C89" s="2" t="s">
        <v>572</v>
      </c>
      <c r="D89" s="2">
        <v>600</v>
      </c>
      <c r="E89" s="51">
        <f>E90</f>
        <v>500000</v>
      </c>
      <c r="F89" s="51">
        <f>F90</f>
        <v>0</v>
      </c>
      <c r="G89" s="61">
        <f t="shared" si="4"/>
        <v>500000</v>
      </c>
    </row>
    <row r="90" spans="1:7" ht="47.25">
      <c r="A90" s="25" t="s">
        <v>393</v>
      </c>
      <c r="B90" s="1" t="s">
        <v>518</v>
      </c>
      <c r="C90" s="2" t="s">
        <v>572</v>
      </c>
      <c r="D90" s="2">
        <v>630</v>
      </c>
      <c r="E90" s="51">
        <v>500000</v>
      </c>
      <c r="F90" s="51"/>
      <c r="G90" s="61">
        <f t="shared" si="4"/>
        <v>500000</v>
      </c>
    </row>
    <row r="91" spans="1:7" ht="47.25">
      <c r="A91" s="26" t="s">
        <v>491</v>
      </c>
      <c r="B91" s="1" t="s">
        <v>518</v>
      </c>
      <c r="C91" s="2" t="s">
        <v>573</v>
      </c>
      <c r="D91" s="2"/>
      <c r="E91" s="51">
        <f>E92</f>
        <v>450000</v>
      </c>
      <c r="F91" s="51">
        <f>F92</f>
        <v>0</v>
      </c>
      <c r="G91" s="61">
        <f t="shared" si="4"/>
        <v>450000</v>
      </c>
    </row>
    <row r="92" spans="1:7" s="4" customFormat="1" ht="31.5">
      <c r="A92" s="23" t="s">
        <v>392</v>
      </c>
      <c r="B92" s="1" t="s">
        <v>518</v>
      </c>
      <c r="C92" s="2" t="s">
        <v>573</v>
      </c>
      <c r="D92" s="2">
        <v>600</v>
      </c>
      <c r="E92" s="51">
        <f>E93</f>
        <v>450000</v>
      </c>
      <c r="F92" s="51">
        <f>F93</f>
        <v>0</v>
      </c>
      <c r="G92" s="61">
        <f t="shared" si="4"/>
        <v>450000</v>
      </c>
    </row>
    <row r="93" spans="1:7" s="4" customFormat="1" ht="47.25">
      <c r="A93" s="25" t="s">
        <v>393</v>
      </c>
      <c r="B93" s="1" t="s">
        <v>518</v>
      </c>
      <c r="C93" s="2" t="s">
        <v>573</v>
      </c>
      <c r="D93" s="2">
        <v>630</v>
      </c>
      <c r="E93" s="51">
        <v>450000</v>
      </c>
      <c r="F93" s="51"/>
      <c r="G93" s="61">
        <f t="shared" si="4"/>
        <v>450000</v>
      </c>
    </row>
    <row r="94" spans="1:7" s="4" customFormat="1" ht="47.25">
      <c r="A94" s="25" t="s">
        <v>197</v>
      </c>
      <c r="B94" s="1" t="s">
        <v>518</v>
      </c>
      <c r="C94" s="2" t="s">
        <v>575</v>
      </c>
      <c r="D94" s="2"/>
      <c r="E94" s="51">
        <f>SUM(E95,E105)</f>
        <v>28700000</v>
      </c>
      <c r="F94" s="51">
        <f>SUM(F95,F105)</f>
        <v>0</v>
      </c>
      <c r="G94" s="61">
        <f t="shared" si="4"/>
        <v>28700000</v>
      </c>
    </row>
    <row r="95" spans="1:7" s="4" customFormat="1" ht="31.5">
      <c r="A95" s="25" t="s">
        <v>522</v>
      </c>
      <c r="B95" s="1" t="s">
        <v>518</v>
      </c>
      <c r="C95" s="2" t="s">
        <v>576</v>
      </c>
      <c r="D95" s="2"/>
      <c r="E95" s="51">
        <f>SUM(E96,E99,E102)</f>
        <v>1700000</v>
      </c>
      <c r="F95" s="51">
        <f>SUM(F96,F99,F102)</f>
        <v>0</v>
      </c>
      <c r="G95" s="61">
        <f t="shared" si="4"/>
        <v>1700000</v>
      </c>
    </row>
    <row r="96" spans="1:7" s="30" customFormat="1" ht="47.25">
      <c r="A96" s="25" t="s">
        <v>184</v>
      </c>
      <c r="B96" s="1" t="s">
        <v>518</v>
      </c>
      <c r="C96" s="2" t="s">
        <v>577</v>
      </c>
      <c r="D96" s="2"/>
      <c r="E96" s="51">
        <f>E97</f>
        <v>400000</v>
      </c>
      <c r="F96" s="51">
        <f>F97</f>
        <v>0</v>
      </c>
      <c r="G96" s="61">
        <f t="shared" si="4"/>
        <v>400000</v>
      </c>
    </row>
    <row r="97" spans="1:7" s="4" customFormat="1" ht="31.5">
      <c r="A97" s="23" t="s">
        <v>211</v>
      </c>
      <c r="B97" s="1" t="s">
        <v>518</v>
      </c>
      <c r="C97" s="2" t="s">
        <v>577</v>
      </c>
      <c r="D97" s="2">
        <v>200</v>
      </c>
      <c r="E97" s="51">
        <f>E98</f>
        <v>400000</v>
      </c>
      <c r="F97" s="51">
        <f>F98</f>
        <v>0</v>
      </c>
      <c r="G97" s="61">
        <f t="shared" si="4"/>
        <v>400000</v>
      </c>
    </row>
    <row r="98" spans="1:7" s="4" customFormat="1" ht="31.5">
      <c r="A98" s="23" t="s">
        <v>396</v>
      </c>
      <c r="B98" s="1" t="s">
        <v>518</v>
      </c>
      <c r="C98" s="2" t="s">
        <v>577</v>
      </c>
      <c r="D98" s="2">
        <v>240</v>
      </c>
      <c r="E98" s="51">
        <v>400000</v>
      </c>
      <c r="F98" s="51"/>
      <c r="G98" s="61">
        <f t="shared" si="4"/>
        <v>400000</v>
      </c>
    </row>
    <row r="99" spans="1:7" s="4" customFormat="1" ht="47.25">
      <c r="A99" s="25" t="s">
        <v>376</v>
      </c>
      <c r="B99" s="1" t="s">
        <v>518</v>
      </c>
      <c r="C99" s="2" t="s">
        <v>578</v>
      </c>
      <c r="D99" s="2"/>
      <c r="E99" s="51">
        <f>E100</f>
        <v>300000</v>
      </c>
      <c r="F99" s="51">
        <f>F100</f>
        <v>0</v>
      </c>
      <c r="G99" s="61">
        <f t="shared" si="4"/>
        <v>300000</v>
      </c>
    </row>
    <row r="100" spans="1:7" s="4" customFormat="1" ht="31.5">
      <c r="A100" s="23" t="s">
        <v>211</v>
      </c>
      <c r="B100" s="1" t="s">
        <v>518</v>
      </c>
      <c r="C100" s="2" t="s">
        <v>578</v>
      </c>
      <c r="D100" s="2">
        <v>200</v>
      </c>
      <c r="E100" s="51">
        <f>E101</f>
        <v>300000</v>
      </c>
      <c r="F100" s="51">
        <f>F101</f>
        <v>0</v>
      </c>
      <c r="G100" s="61">
        <f t="shared" si="4"/>
        <v>300000</v>
      </c>
    </row>
    <row r="101" spans="1:7" s="4" customFormat="1" ht="31.5">
      <c r="A101" s="23" t="s">
        <v>396</v>
      </c>
      <c r="B101" s="1" t="s">
        <v>518</v>
      </c>
      <c r="C101" s="2" t="s">
        <v>578</v>
      </c>
      <c r="D101" s="2">
        <v>240</v>
      </c>
      <c r="E101" s="51">
        <v>300000</v>
      </c>
      <c r="F101" s="51"/>
      <c r="G101" s="61">
        <f t="shared" si="4"/>
        <v>300000</v>
      </c>
    </row>
    <row r="102" spans="1:7" s="4" customFormat="1" ht="31.5">
      <c r="A102" s="25" t="s">
        <v>377</v>
      </c>
      <c r="B102" s="1" t="s">
        <v>518</v>
      </c>
      <c r="C102" s="2" t="s">
        <v>579</v>
      </c>
      <c r="D102" s="2"/>
      <c r="E102" s="51">
        <f>E103</f>
        <v>1000000</v>
      </c>
      <c r="F102" s="51">
        <f>F103</f>
        <v>0</v>
      </c>
      <c r="G102" s="61">
        <f t="shared" si="4"/>
        <v>1000000</v>
      </c>
    </row>
    <row r="103" spans="1:7" s="4" customFormat="1" ht="31.5">
      <c r="A103" s="23" t="s">
        <v>211</v>
      </c>
      <c r="B103" s="1" t="s">
        <v>518</v>
      </c>
      <c r="C103" s="2" t="s">
        <v>579</v>
      </c>
      <c r="D103" s="2">
        <v>200</v>
      </c>
      <c r="E103" s="51">
        <f>E104</f>
        <v>1000000</v>
      </c>
      <c r="F103" s="51">
        <f>F104</f>
        <v>0</v>
      </c>
      <c r="G103" s="61">
        <f t="shared" si="4"/>
        <v>1000000</v>
      </c>
    </row>
    <row r="104" spans="1:7" s="4" customFormat="1" ht="31.5">
      <c r="A104" s="23" t="s">
        <v>396</v>
      </c>
      <c r="B104" s="1" t="s">
        <v>518</v>
      </c>
      <c r="C104" s="2" t="s">
        <v>579</v>
      </c>
      <c r="D104" s="2">
        <v>240</v>
      </c>
      <c r="E104" s="51">
        <v>1000000</v>
      </c>
      <c r="F104" s="51"/>
      <c r="G104" s="61">
        <f t="shared" si="4"/>
        <v>1000000</v>
      </c>
    </row>
    <row r="105" spans="1:7" s="5" customFormat="1" ht="47.25">
      <c r="A105" s="23" t="s">
        <v>523</v>
      </c>
      <c r="B105" s="1" t="s">
        <v>518</v>
      </c>
      <c r="C105" s="2" t="s">
        <v>580</v>
      </c>
      <c r="D105" s="2"/>
      <c r="E105" s="51">
        <f>E106</f>
        <v>27000000</v>
      </c>
      <c r="F105" s="51">
        <f>F106</f>
        <v>0</v>
      </c>
      <c r="G105" s="61">
        <f t="shared" si="4"/>
        <v>27000000</v>
      </c>
    </row>
    <row r="106" spans="1:7" s="4" customFormat="1" ht="63">
      <c r="A106" s="25" t="s">
        <v>378</v>
      </c>
      <c r="B106" s="1" t="s">
        <v>518</v>
      </c>
      <c r="C106" s="2" t="s">
        <v>581</v>
      </c>
      <c r="D106" s="2"/>
      <c r="E106" s="51">
        <f>SUM(E107,E109,E111)</f>
        <v>27000000</v>
      </c>
      <c r="F106" s="51">
        <f>SUM(F107,F109,F111)</f>
        <v>0</v>
      </c>
      <c r="G106" s="61">
        <f t="shared" si="4"/>
        <v>27000000</v>
      </c>
    </row>
    <row r="107" spans="1:7" s="4" customFormat="1" ht="78.75">
      <c r="A107" s="24" t="s">
        <v>398</v>
      </c>
      <c r="B107" s="1" t="s">
        <v>518</v>
      </c>
      <c r="C107" s="2" t="s">
        <v>581</v>
      </c>
      <c r="D107" s="2">
        <v>100</v>
      </c>
      <c r="E107" s="51">
        <f>E108</f>
        <v>24800000</v>
      </c>
      <c r="F107" s="51">
        <f>F108</f>
        <v>0</v>
      </c>
      <c r="G107" s="61">
        <f t="shared" si="4"/>
        <v>24800000</v>
      </c>
    </row>
    <row r="108" spans="1:7" s="4" customFormat="1" ht="15.75">
      <c r="A108" s="24" t="s">
        <v>408</v>
      </c>
      <c r="B108" s="1" t="s">
        <v>518</v>
      </c>
      <c r="C108" s="2" t="s">
        <v>581</v>
      </c>
      <c r="D108" s="2">
        <v>110</v>
      </c>
      <c r="E108" s="51">
        <v>24800000</v>
      </c>
      <c r="F108" s="51"/>
      <c r="G108" s="61">
        <f t="shared" si="4"/>
        <v>24800000</v>
      </c>
    </row>
    <row r="109" spans="1:7" s="4" customFormat="1" ht="31.5">
      <c r="A109" s="23" t="s">
        <v>211</v>
      </c>
      <c r="B109" s="1" t="s">
        <v>518</v>
      </c>
      <c r="C109" s="2" t="s">
        <v>581</v>
      </c>
      <c r="D109" s="2">
        <v>200</v>
      </c>
      <c r="E109" s="51">
        <f>E110</f>
        <v>1965000</v>
      </c>
      <c r="F109" s="51">
        <f>F110</f>
        <v>65200</v>
      </c>
      <c r="G109" s="61">
        <f t="shared" si="4"/>
        <v>2030200</v>
      </c>
    </row>
    <row r="110" spans="1:7" s="4" customFormat="1" ht="31.5">
      <c r="A110" s="23" t="s">
        <v>396</v>
      </c>
      <c r="B110" s="1" t="s">
        <v>518</v>
      </c>
      <c r="C110" s="2" t="s">
        <v>581</v>
      </c>
      <c r="D110" s="2">
        <v>240</v>
      </c>
      <c r="E110" s="51">
        <v>1965000</v>
      </c>
      <c r="F110" s="51">
        <f>65200</f>
        <v>65200</v>
      </c>
      <c r="G110" s="61">
        <f t="shared" si="4"/>
        <v>2030200</v>
      </c>
    </row>
    <row r="111" spans="1:7" s="4" customFormat="1" ht="15.75">
      <c r="A111" s="23" t="s">
        <v>400</v>
      </c>
      <c r="B111" s="1" t="s">
        <v>518</v>
      </c>
      <c r="C111" s="2" t="s">
        <v>581</v>
      </c>
      <c r="D111" s="2">
        <v>800</v>
      </c>
      <c r="E111" s="51">
        <f>E112</f>
        <v>235000</v>
      </c>
      <c r="F111" s="51">
        <f>F112</f>
        <v>-65200</v>
      </c>
      <c r="G111" s="61">
        <f t="shared" si="4"/>
        <v>169800</v>
      </c>
    </row>
    <row r="112" spans="1:7" s="4" customFormat="1" ht="15.75">
      <c r="A112" s="23" t="s">
        <v>401</v>
      </c>
      <c r="B112" s="1" t="s">
        <v>518</v>
      </c>
      <c r="C112" s="2" t="s">
        <v>581</v>
      </c>
      <c r="D112" s="2">
        <v>850</v>
      </c>
      <c r="E112" s="51">
        <v>235000</v>
      </c>
      <c r="F112" s="51">
        <f>-65200</f>
        <v>-65200</v>
      </c>
      <c r="G112" s="61">
        <f t="shared" si="4"/>
        <v>169800</v>
      </c>
    </row>
    <row r="113" spans="1:7" s="4" customFormat="1" ht="15.75">
      <c r="A113" s="27" t="s">
        <v>411</v>
      </c>
      <c r="B113" s="1" t="s">
        <v>518</v>
      </c>
      <c r="C113" s="2" t="s">
        <v>209</v>
      </c>
      <c r="D113" s="12"/>
      <c r="E113" s="53">
        <f>SUM(E114,E127)</f>
        <v>40968300</v>
      </c>
      <c r="F113" s="53">
        <f>SUM(F114,F127)</f>
        <v>0</v>
      </c>
      <c r="G113" s="61">
        <f t="shared" si="4"/>
        <v>40968300</v>
      </c>
    </row>
    <row r="114" spans="1:7" s="4" customFormat="1" ht="47.25">
      <c r="A114" s="25" t="s">
        <v>604</v>
      </c>
      <c r="B114" s="1" t="s">
        <v>518</v>
      </c>
      <c r="C114" s="2" t="s">
        <v>583</v>
      </c>
      <c r="D114" s="2"/>
      <c r="E114" s="51">
        <f>SUM(E115,E118,E121,E124)</f>
        <v>1568300</v>
      </c>
      <c r="F114" s="51">
        <f>SUM(F115,F118,F121,F124)</f>
        <v>0</v>
      </c>
      <c r="G114" s="61">
        <f t="shared" si="4"/>
        <v>1568300</v>
      </c>
    </row>
    <row r="115" spans="1:7" s="4" customFormat="1" ht="63">
      <c r="A115" s="25" t="s">
        <v>413</v>
      </c>
      <c r="B115" s="1" t="s">
        <v>518</v>
      </c>
      <c r="C115" s="2" t="s">
        <v>586</v>
      </c>
      <c r="D115" s="2"/>
      <c r="E115" s="51">
        <f>E116</f>
        <v>400000</v>
      </c>
      <c r="F115" s="51">
        <f>F116</f>
        <v>0</v>
      </c>
      <c r="G115" s="61">
        <f t="shared" si="4"/>
        <v>400000</v>
      </c>
    </row>
    <row r="116" spans="1:7" s="4" customFormat="1" ht="31.5">
      <c r="A116" s="23" t="s">
        <v>211</v>
      </c>
      <c r="B116" s="1" t="s">
        <v>518</v>
      </c>
      <c r="C116" s="2" t="s">
        <v>586</v>
      </c>
      <c r="D116" s="2">
        <v>200</v>
      </c>
      <c r="E116" s="51">
        <f>E117</f>
        <v>400000</v>
      </c>
      <c r="F116" s="51">
        <f>F117</f>
        <v>0</v>
      </c>
      <c r="G116" s="61">
        <f t="shared" si="4"/>
        <v>400000</v>
      </c>
    </row>
    <row r="117" spans="1:7" s="4" customFormat="1" ht="31.5">
      <c r="A117" s="23" t="s">
        <v>396</v>
      </c>
      <c r="B117" s="1" t="s">
        <v>518</v>
      </c>
      <c r="C117" s="2" t="s">
        <v>586</v>
      </c>
      <c r="D117" s="2">
        <v>240</v>
      </c>
      <c r="E117" s="51">
        <v>400000</v>
      </c>
      <c r="F117" s="51"/>
      <c r="G117" s="61">
        <f t="shared" si="4"/>
        <v>400000</v>
      </c>
    </row>
    <row r="118" spans="1:7" s="4" customFormat="1" ht="63">
      <c r="A118" s="25" t="s">
        <v>0</v>
      </c>
      <c r="B118" s="1" t="s">
        <v>518</v>
      </c>
      <c r="C118" s="2" t="s">
        <v>587</v>
      </c>
      <c r="D118" s="2"/>
      <c r="E118" s="51">
        <f>E119</f>
        <v>200000</v>
      </c>
      <c r="F118" s="51">
        <f>F119</f>
        <v>0</v>
      </c>
      <c r="G118" s="61">
        <f t="shared" si="4"/>
        <v>200000</v>
      </c>
    </row>
    <row r="119" spans="1:7" s="4" customFormat="1" ht="31.5">
      <c r="A119" s="25" t="s">
        <v>392</v>
      </c>
      <c r="B119" s="1" t="s">
        <v>518</v>
      </c>
      <c r="C119" s="2" t="s">
        <v>587</v>
      </c>
      <c r="D119" s="2">
        <v>600</v>
      </c>
      <c r="E119" s="51">
        <f>E120</f>
        <v>200000</v>
      </c>
      <c r="F119" s="51">
        <f>F120</f>
        <v>0</v>
      </c>
      <c r="G119" s="61">
        <f t="shared" si="4"/>
        <v>200000</v>
      </c>
    </row>
    <row r="120" spans="1:7" s="4" customFormat="1" ht="47.25">
      <c r="A120" s="25" t="s">
        <v>393</v>
      </c>
      <c r="B120" s="1" t="s">
        <v>518</v>
      </c>
      <c r="C120" s="2" t="s">
        <v>587</v>
      </c>
      <c r="D120" s="2">
        <v>630</v>
      </c>
      <c r="E120" s="54">
        <v>200000</v>
      </c>
      <c r="F120" s="54"/>
      <c r="G120" s="61">
        <f t="shared" si="4"/>
        <v>200000</v>
      </c>
    </row>
    <row r="121" spans="1:7" s="4" customFormat="1" ht="173.25">
      <c r="A121" s="25" t="s">
        <v>494</v>
      </c>
      <c r="B121" s="1" t="s">
        <v>518</v>
      </c>
      <c r="C121" s="2" t="s">
        <v>588</v>
      </c>
      <c r="D121" s="2"/>
      <c r="E121" s="54">
        <f>E122</f>
        <v>500000</v>
      </c>
      <c r="F121" s="54">
        <f>F122</f>
        <v>0</v>
      </c>
      <c r="G121" s="61">
        <f t="shared" si="4"/>
        <v>500000</v>
      </c>
    </row>
    <row r="122" spans="1:7" s="4" customFormat="1" ht="31.5">
      <c r="A122" s="25" t="s">
        <v>392</v>
      </c>
      <c r="B122" s="1" t="s">
        <v>518</v>
      </c>
      <c r="C122" s="2" t="s">
        <v>588</v>
      </c>
      <c r="D122" s="2">
        <v>600</v>
      </c>
      <c r="E122" s="54">
        <f>E123</f>
        <v>500000</v>
      </c>
      <c r="F122" s="54">
        <f>F123</f>
        <v>0</v>
      </c>
      <c r="G122" s="61">
        <f t="shared" si="4"/>
        <v>500000</v>
      </c>
    </row>
    <row r="123" spans="1:7" s="5" customFormat="1" ht="47.25">
      <c r="A123" s="25" t="s">
        <v>393</v>
      </c>
      <c r="B123" s="1" t="s">
        <v>518</v>
      </c>
      <c r="C123" s="2" t="s">
        <v>588</v>
      </c>
      <c r="D123" s="2">
        <v>630</v>
      </c>
      <c r="E123" s="54">
        <v>500000</v>
      </c>
      <c r="F123" s="54"/>
      <c r="G123" s="61">
        <f t="shared" si="4"/>
        <v>500000</v>
      </c>
    </row>
    <row r="124" spans="1:7" ht="78.75">
      <c r="A124" s="43" t="s">
        <v>210</v>
      </c>
      <c r="B124" s="1" t="s">
        <v>518</v>
      </c>
      <c r="C124" s="2" t="s">
        <v>589</v>
      </c>
      <c r="D124" s="2"/>
      <c r="E124" s="51">
        <f>E125</f>
        <v>468300</v>
      </c>
      <c r="F124" s="51">
        <f>F125</f>
        <v>0</v>
      </c>
      <c r="G124" s="61">
        <f t="shared" si="4"/>
        <v>468300</v>
      </c>
    </row>
    <row r="125" spans="1:7" s="4" customFormat="1" ht="15.75">
      <c r="A125" s="23" t="s">
        <v>400</v>
      </c>
      <c r="B125" s="1" t="s">
        <v>518</v>
      </c>
      <c r="C125" s="2" t="s">
        <v>589</v>
      </c>
      <c r="D125" s="2">
        <v>800</v>
      </c>
      <c r="E125" s="51">
        <f>E126</f>
        <v>468300</v>
      </c>
      <c r="F125" s="51">
        <f>F126</f>
        <v>0</v>
      </c>
      <c r="G125" s="61">
        <f t="shared" si="4"/>
        <v>468300</v>
      </c>
    </row>
    <row r="126" spans="1:7" s="4" customFormat="1" ht="15.75">
      <c r="A126" s="23" t="s">
        <v>401</v>
      </c>
      <c r="B126" s="1" t="s">
        <v>518</v>
      </c>
      <c r="C126" s="2" t="s">
        <v>589</v>
      </c>
      <c r="D126" s="2">
        <v>850</v>
      </c>
      <c r="E126" s="54">
        <v>468300</v>
      </c>
      <c r="F126" s="54"/>
      <c r="G126" s="61">
        <f t="shared" si="4"/>
        <v>468300</v>
      </c>
    </row>
    <row r="127" spans="1:7" s="4" customFormat="1" ht="15.75">
      <c r="A127" s="25" t="s">
        <v>1</v>
      </c>
      <c r="B127" s="1" t="s">
        <v>518</v>
      </c>
      <c r="C127" s="2" t="s">
        <v>2</v>
      </c>
      <c r="D127" s="2"/>
      <c r="E127" s="51">
        <f>SUM(E128,E131,E134,E137)</f>
        <v>39400000</v>
      </c>
      <c r="F127" s="51">
        <f>SUM(F128,F131,F134,F137)</f>
        <v>0</v>
      </c>
      <c r="G127" s="61">
        <f t="shared" si="4"/>
        <v>39400000</v>
      </c>
    </row>
    <row r="128" spans="1:7" s="4" customFormat="1" ht="31.5">
      <c r="A128" s="25" t="s">
        <v>417</v>
      </c>
      <c r="B128" s="1" t="s">
        <v>518</v>
      </c>
      <c r="C128" s="2" t="s">
        <v>590</v>
      </c>
      <c r="D128" s="2"/>
      <c r="E128" s="51">
        <f>E129</f>
        <v>400000</v>
      </c>
      <c r="F128" s="51">
        <f>F129</f>
        <v>0</v>
      </c>
      <c r="G128" s="61">
        <f t="shared" si="4"/>
        <v>400000</v>
      </c>
    </row>
    <row r="129" spans="1:7" s="4" customFormat="1" ht="31.5">
      <c r="A129" s="41" t="s">
        <v>211</v>
      </c>
      <c r="B129" s="1" t="s">
        <v>518</v>
      </c>
      <c r="C129" s="2" t="s">
        <v>590</v>
      </c>
      <c r="D129" s="2">
        <v>200</v>
      </c>
      <c r="E129" s="51">
        <f>E130</f>
        <v>400000</v>
      </c>
      <c r="F129" s="51">
        <f>F130</f>
        <v>0</v>
      </c>
      <c r="G129" s="61">
        <f t="shared" si="4"/>
        <v>400000</v>
      </c>
    </row>
    <row r="130" spans="1:7" s="4" customFormat="1" ht="31.5">
      <c r="A130" s="23" t="s">
        <v>396</v>
      </c>
      <c r="B130" s="1" t="s">
        <v>518</v>
      </c>
      <c r="C130" s="2" t="s">
        <v>590</v>
      </c>
      <c r="D130" s="2">
        <v>240</v>
      </c>
      <c r="E130" s="51">
        <v>400000</v>
      </c>
      <c r="F130" s="51"/>
      <c r="G130" s="61">
        <f t="shared" si="4"/>
        <v>400000</v>
      </c>
    </row>
    <row r="131" spans="1:7" s="4" customFormat="1" ht="15.75">
      <c r="A131" s="25" t="s">
        <v>214</v>
      </c>
      <c r="B131" s="1" t="s">
        <v>518</v>
      </c>
      <c r="C131" s="2" t="s">
        <v>591</v>
      </c>
      <c r="D131" s="2"/>
      <c r="E131" s="51">
        <f>E132</f>
        <v>6000000</v>
      </c>
      <c r="F131" s="51">
        <f>F132</f>
        <v>0</v>
      </c>
      <c r="G131" s="61">
        <f t="shared" si="4"/>
        <v>6000000</v>
      </c>
    </row>
    <row r="132" spans="1:7" s="4" customFormat="1" ht="15.75">
      <c r="A132" s="23" t="s">
        <v>400</v>
      </c>
      <c r="B132" s="1" t="s">
        <v>518</v>
      </c>
      <c r="C132" s="2" t="s">
        <v>591</v>
      </c>
      <c r="D132" s="2">
        <v>800</v>
      </c>
      <c r="E132" s="51">
        <f>E133</f>
        <v>6000000</v>
      </c>
      <c r="F132" s="51">
        <f>F133</f>
        <v>0</v>
      </c>
      <c r="G132" s="61">
        <f t="shared" si="4"/>
        <v>6000000</v>
      </c>
    </row>
    <row r="133" spans="1:7" s="5" customFormat="1" ht="15.75">
      <c r="A133" s="25" t="s">
        <v>214</v>
      </c>
      <c r="B133" s="1" t="s">
        <v>518</v>
      </c>
      <c r="C133" s="2" t="s">
        <v>591</v>
      </c>
      <c r="D133" s="2">
        <v>830</v>
      </c>
      <c r="E133" s="51">
        <v>6000000</v>
      </c>
      <c r="F133" s="51"/>
      <c r="G133" s="61">
        <f t="shared" si="4"/>
        <v>6000000</v>
      </c>
    </row>
    <row r="134" spans="1:7" s="4" customFormat="1" ht="78.75">
      <c r="A134" s="25" t="s">
        <v>147</v>
      </c>
      <c r="B134" s="1" t="s">
        <v>518</v>
      </c>
      <c r="C134" s="2" t="s">
        <v>149</v>
      </c>
      <c r="D134" s="2"/>
      <c r="E134" s="51">
        <f>E135</f>
        <v>500000</v>
      </c>
      <c r="F134" s="51">
        <f>F135</f>
        <v>0</v>
      </c>
      <c r="G134" s="61">
        <f t="shared" si="4"/>
        <v>500000</v>
      </c>
    </row>
    <row r="135" spans="1:7" s="4" customFormat="1" ht="15.75">
      <c r="A135" s="23" t="s">
        <v>400</v>
      </c>
      <c r="B135" s="1" t="s">
        <v>518</v>
      </c>
      <c r="C135" s="2" t="s">
        <v>149</v>
      </c>
      <c r="D135" s="2">
        <v>800</v>
      </c>
      <c r="E135" s="51">
        <f>E136</f>
        <v>500000</v>
      </c>
      <c r="F135" s="51">
        <f>F136</f>
        <v>0</v>
      </c>
      <c r="G135" s="61">
        <f t="shared" si="4"/>
        <v>500000</v>
      </c>
    </row>
    <row r="136" spans="1:7" s="4" customFormat="1" ht="15.75">
      <c r="A136" s="25" t="s">
        <v>420</v>
      </c>
      <c r="B136" s="1" t="s">
        <v>518</v>
      </c>
      <c r="C136" s="2" t="s">
        <v>149</v>
      </c>
      <c r="D136" s="2">
        <v>880</v>
      </c>
      <c r="E136" s="51">
        <v>500000</v>
      </c>
      <c r="F136" s="51">
        <f>-500000+500000</f>
        <v>0</v>
      </c>
      <c r="G136" s="61">
        <f t="shared" si="4"/>
        <v>500000</v>
      </c>
    </row>
    <row r="137" spans="1:7" s="4" customFormat="1" ht="47.25">
      <c r="A137" s="25" t="s">
        <v>148</v>
      </c>
      <c r="B137" s="1" t="s">
        <v>518</v>
      </c>
      <c r="C137" s="2" t="s">
        <v>150</v>
      </c>
      <c r="D137" s="2"/>
      <c r="E137" s="51">
        <f>E138</f>
        <v>32500000</v>
      </c>
      <c r="F137" s="51">
        <f>F138</f>
        <v>0</v>
      </c>
      <c r="G137" s="61">
        <f t="shared" si="4"/>
        <v>32500000</v>
      </c>
    </row>
    <row r="138" spans="1:7" s="4" customFormat="1" ht="15.75">
      <c r="A138" s="23" t="s">
        <v>400</v>
      </c>
      <c r="B138" s="1" t="s">
        <v>518</v>
      </c>
      <c r="C138" s="2" t="s">
        <v>150</v>
      </c>
      <c r="D138" s="2">
        <v>800</v>
      </c>
      <c r="E138" s="51">
        <f>E139</f>
        <v>32500000</v>
      </c>
      <c r="F138" s="51">
        <f>F139</f>
        <v>0</v>
      </c>
      <c r="G138" s="61">
        <f t="shared" si="4"/>
        <v>32500000</v>
      </c>
    </row>
    <row r="139" spans="1:7" s="4" customFormat="1" ht="15.75">
      <c r="A139" s="25" t="s">
        <v>420</v>
      </c>
      <c r="B139" s="1" t="s">
        <v>518</v>
      </c>
      <c r="C139" s="2" t="s">
        <v>150</v>
      </c>
      <c r="D139" s="2">
        <v>880</v>
      </c>
      <c r="E139" s="51">
        <v>32500000</v>
      </c>
      <c r="F139" s="51"/>
      <c r="G139" s="61">
        <f t="shared" si="4"/>
        <v>32500000</v>
      </c>
    </row>
    <row r="140" spans="1:7" s="4" customFormat="1" ht="31.5">
      <c r="A140" s="9" t="s">
        <v>543</v>
      </c>
      <c r="B140" s="8" t="s">
        <v>544</v>
      </c>
      <c r="C140" s="2"/>
      <c r="D140" s="2"/>
      <c r="E140" s="55">
        <f>SUM(E141,E152,E162)</f>
        <v>31400001</v>
      </c>
      <c r="F140" s="55">
        <f>SUM(F141,F152,F162)</f>
        <v>771800</v>
      </c>
      <c r="G140" s="59">
        <f t="shared" si="4"/>
        <v>32171801</v>
      </c>
    </row>
    <row r="141" spans="1:7" s="4" customFormat="1" ht="15.75">
      <c r="A141" s="10" t="s">
        <v>188</v>
      </c>
      <c r="B141" s="12" t="s">
        <v>189</v>
      </c>
      <c r="C141" s="16"/>
      <c r="D141" s="16"/>
      <c r="E141" s="50">
        <f>E142</f>
        <v>4100001</v>
      </c>
      <c r="F141" s="50">
        <f>F142</f>
        <v>771800</v>
      </c>
      <c r="G141" s="60">
        <f t="shared" si="4"/>
        <v>4871801</v>
      </c>
    </row>
    <row r="142" spans="1:7" s="4" customFormat="1" ht="15.75">
      <c r="A142" s="27" t="s">
        <v>411</v>
      </c>
      <c r="B142" s="1" t="s">
        <v>189</v>
      </c>
      <c r="C142" s="2" t="s">
        <v>209</v>
      </c>
      <c r="D142" s="12"/>
      <c r="E142" s="51">
        <f>E143</f>
        <v>4100001</v>
      </c>
      <c r="F142" s="51">
        <f>F143</f>
        <v>771800</v>
      </c>
      <c r="G142" s="61">
        <f t="shared" si="4"/>
        <v>4871801</v>
      </c>
    </row>
    <row r="143" spans="1:7" s="4" customFormat="1" ht="31.5">
      <c r="A143" s="25" t="s">
        <v>410</v>
      </c>
      <c r="B143" s="1" t="s">
        <v>189</v>
      </c>
      <c r="C143" s="2" t="s">
        <v>208</v>
      </c>
      <c r="D143" s="2"/>
      <c r="E143" s="51">
        <f>SUM(E147,E144)</f>
        <v>4100001</v>
      </c>
      <c r="F143" s="51">
        <f>SUM(F147,F144)</f>
        <v>771800</v>
      </c>
      <c r="G143" s="61">
        <f t="shared" si="4"/>
        <v>4871801</v>
      </c>
    </row>
    <row r="144" spans="1:7" s="4" customFormat="1" ht="47.25">
      <c r="A144" s="25" t="s">
        <v>116</v>
      </c>
      <c r="B144" s="1" t="s">
        <v>189</v>
      </c>
      <c r="C144" s="2" t="s">
        <v>115</v>
      </c>
      <c r="D144" s="2"/>
      <c r="E144" s="51">
        <f>E145</f>
        <v>0</v>
      </c>
      <c r="F144" s="51">
        <f>F145</f>
        <v>771800</v>
      </c>
      <c r="G144" s="61">
        <f>SUM(E144:F144)</f>
        <v>771800</v>
      </c>
    </row>
    <row r="145" spans="1:7" s="4" customFormat="1" ht="78.75">
      <c r="A145" s="24" t="s">
        <v>398</v>
      </c>
      <c r="B145" s="1" t="s">
        <v>189</v>
      </c>
      <c r="C145" s="2" t="s">
        <v>115</v>
      </c>
      <c r="D145" s="1" t="s">
        <v>402</v>
      </c>
      <c r="E145" s="51">
        <f>E146</f>
        <v>0</v>
      </c>
      <c r="F145" s="51">
        <f>F146</f>
        <v>771800</v>
      </c>
      <c r="G145" s="61">
        <f>SUM(E145:F145)</f>
        <v>771800</v>
      </c>
    </row>
    <row r="146" spans="1:7" s="4" customFormat="1" ht="31.5">
      <c r="A146" s="24" t="s">
        <v>399</v>
      </c>
      <c r="B146" s="1" t="s">
        <v>189</v>
      </c>
      <c r="C146" s="2" t="s">
        <v>115</v>
      </c>
      <c r="D146" s="1" t="s">
        <v>403</v>
      </c>
      <c r="E146" s="51"/>
      <c r="F146" s="51">
        <f>771800</f>
        <v>771800</v>
      </c>
      <c r="G146" s="61">
        <f>SUM(E146:F146)</f>
        <v>771800</v>
      </c>
    </row>
    <row r="147" spans="1:7" s="4" customFormat="1" ht="31.5">
      <c r="A147" s="23" t="s">
        <v>482</v>
      </c>
      <c r="B147" s="1" t="s">
        <v>189</v>
      </c>
      <c r="C147" s="2" t="s">
        <v>238</v>
      </c>
      <c r="D147" s="1"/>
      <c r="E147" s="51">
        <f>E148+E150</f>
        <v>4100001</v>
      </c>
      <c r="F147" s="51">
        <f>F148+F150</f>
        <v>0</v>
      </c>
      <c r="G147" s="61">
        <f t="shared" si="4"/>
        <v>4100001</v>
      </c>
    </row>
    <row r="148" spans="1:7" s="4" customFormat="1" ht="78.75">
      <c r="A148" s="24" t="s">
        <v>398</v>
      </c>
      <c r="B148" s="1" t="s">
        <v>189</v>
      </c>
      <c r="C148" s="2" t="s">
        <v>238</v>
      </c>
      <c r="D148" s="1" t="s">
        <v>402</v>
      </c>
      <c r="E148" s="51">
        <f>E149</f>
        <v>3409120</v>
      </c>
      <c r="F148" s="51">
        <f>F149</f>
        <v>-64030.240000000005</v>
      </c>
      <c r="G148" s="61">
        <f t="shared" si="4"/>
        <v>3345089.76</v>
      </c>
    </row>
    <row r="149" spans="1:7" s="4" customFormat="1" ht="31.5">
      <c r="A149" s="24" t="s">
        <v>399</v>
      </c>
      <c r="B149" s="1" t="s">
        <v>189</v>
      </c>
      <c r="C149" s="2" t="s">
        <v>238</v>
      </c>
      <c r="D149" s="1" t="s">
        <v>403</v>
      </c>
      <c r="E149" s="51">
        <v>3409120</v>
      </c>
      <c r="F149" s="51">
        <f>6300-70330.24</f>
        <v>-64030.240000000005</v>
      </c>
      <c r="G149" s="61">
        <f t="shared" si="4"/>
        <v>3345089.76</v>
      </c>
    </row>
    <row r="150" spans="1:7" s="5" customFormat="1" ht="31.5">
      <c r="A150" s="23" t="s">
        <v>211</v>
      </c>
      <c r="B150" s="1" t="s">
        <v>189</v>
      </c>
      <c r="C150" s="2" t="s">
        <v>238</v>
      </c>
      <c r="D150" s="1" t="s">
        <v>404</v>
      </c>
      <c r="E150" s="51">
        <f>E151</f>
        <v>690881</v>
      </c>
      <c r="F150" s="51">
        <f>F151</f>
        <v>64030.240000000005</v>
      </c>
      <c r="G150" s="61">
        <f aca="true" t="shared" si="5" ref="G150:G231">SUM(E150:F150)</f>
        <v>754911.24</v>
      </c>
    </row>
    <row r="151" spans="1:7" s="5" customFormat="1" ht="31.5">
      <c r="A151" s="24" t="s">
        <v>396</v>
      </c>
      <c r="B151" s="1" t="s">
        <v>189</v>
      </c>
      <c r="C151" s="2" t="s">
        <v>238</v>
      </c>
      <c r="D151" s="1" t="s">
        <v>405</v>
      </c>
      <c r="E151" s="51">
        <v>690881</v>
      </c>
      <c r="F151" s="51">
        <f>-6300+70330.24</f>
        <v>64030.240000000005</v>
      </c>
      <c r="G151" s="61">
        <f t="shared" si="5"/>
        <v>754911.24</v>
      </c>
    </row>
    <row r="152" spans="1:7" s="5" customFormat="1" ht="47.25">
      <c r="A152" s="10" t="s">
        <v>545</v>
      </c>
      <c r="B152" s="12" t="s">
        <v>548</v>
      </c>
      <c r="C152" s="2"/>
      <c r="D152" s="2"/>
      <c r="E152" s="50">
        <f aca="true" t="shared" si="6" ref="E152:F154">E153</f>
        <v>26200000</v>
      </c>
      <c r="F152" s="50">
        <f t="shared" si="6"/>
        <v>130000</v>
      </c>
      <c r="G152" s="60">
        <f t="shared" si="5"/>
        <v>26330000</v>
      </c>
    </row>
    <row r="153" spans="1:7" s="5" customFormat="1" ht="47.25">
      <c r="A153" s="25" t="s">
        <v>495</v>
      </c>
      <c r="B153" s="1" t="s">
        <v>548</v>
      </c>
      <c r="C153" s="2" t="s">
        <v>570</v>
      </c>
      <c r="D153" s="2"/>
      <c r="E153" s="51">
        <f t="shared" si="6"/>
        <v>26200000</v>
      </c>
      <c r="F153" s="51">
        <f t="shared" si="6"/>
        <v>130000</v>
      </c>
      <c r="G153" s="61">
        <f t="shared" si="5"/>
        <v>26330000</v>
      </c>
    </row>
    <row r="154" spans="1:7" s="5" customFormat="1" ht="31.5">
      <c r="A154" s="26" t="s">
        <v>519</v>
      </c>
      <c r="B154" s="1" t="s">
        <v>548</v>
      </c>
      <c r="C154" s="2" t="s">
        <v>3</v>
      </c>
      <c r="D154" s="2"/>
      <c r="E154" s="54">
        <f t="shared" si="6"/>
        <v>26200000</v>
      </c>
      <c r="F154" s="54">
        <f t="shared" si="6"/>
        <v>130000</v>
      </c>
      <c r="G154" s="61">
        <f t="shared" si="5"/>
        <v>26330000</v>
      </c>
    </row>
    <row r="155" spans="1:7" s="5" customFormat="1" ht="63">
      <c r="A155" s="26" t="s">
        <v>373</v>
      </c>
      <c r="B155" s="1" t="s">
        <v>548</v>
      </c>
      <c r="C155" s="2" t="s">
        <v>4</v>
      </c>
      <c r="D155" s="2"/>
      <c r="E155" s="54">
        <f>SUM(E156,E158,E160)</f>
        <v>26200000</v>
      </c>
      <c r="F155" s="54">
        <f>SUM(F156,F158,F160)</f>
        <v>130000</v>
      </c>
      <c r="G155" s="61">
        <f t="shared" si="5"/>
        <v>26330000</v>
      </c>
    </row>
    <row r="156" spans="1:7" s="5" customFormat="1" ht="78.75">
      <c r="A156" s="24" t="s">
        <v>398</v>
      </c>
      <c r="B156" s="1" t="s">
        <v>548</v>
      </c>
      <c r="C156" s="2" t="s">
        <v>4</v>
      </c>
      <c r="D156" s="2">
        <v>100</v>
      </c>
      <c r="E156" s="54">
        <f>E157</f>
        <v>22500000</v>
      </c>
      <c r="F156" s="54">
        <f>F157</f>
        <v>230000</v>
      </c>
      <c r="G156" s="61">
        <f t="shared" si="5"/>
        <v>22730000</v>
      </c>
    </row>
    <row r="157" spans="1:7" s="5" customFormat="1" ht="15.75">
      <c r="A157" s="24" t="s">
        <v>408</v>
      </c>
      <c r="B157" s="1" t="s">
        <v>548</v>
      </c>
      <c r="C157" s="2" t="s">
        <v>4</v>
      </c>
      <c r="D157" s="2">
        <v>110</v>
      </c>
      <c r="E157" s="54">
        <v>22500000</v>
      </c>
      <c r="F157" s="54">
        <f>230000</f>
        <v>230000</v>
      </c>
      <c r="G157" s="61">
        <f t="shared" si="5"/>
        <v>22730000</v>
      </c>
    </row>
    <row r="158" spans="1:7" s="5" customFormat="1" ht="31.5">
      <c r="A158" s="23" t="s">
        <v>211</v>
      </c>
      <c r="B158" s="1" t="s">
        <v>548</v>
      </c>
      <c r="C158" s="2" t="s">
        <v>4</v>
      </c>
      <c r="D158" s="2">
        <v>200</v>
      </c>
      <c r="E158" s="54">
        <f>E159</f>
        <v>3645000</v>
      </c>
      <c r="F158" s="54">
        <f>F159</f>
        <v>-100000</v>
      </c>
      <c r="G158" s="61">
        <f t="shared" si="5"/>
        <v>3545000</v>
      </c>
    </row>
    <row r="159" spans="1:7" s="5" customFormat="1" ht="31.5">
      <c r="A159" s="23" t="s">
        <v>396</v>
      </c>
      <c r="B159" s="1" t="s">
        <v>548</v>
      </c>
      <c r="C159" s="2" t="s">
        <v>4</v>
      </c>
      <c r="D159" s="2">
        <v>240</v>
      </c>
      <c r="E159" s="54">
        <v>3645000</v>
      </c>
      <c r="F159" s="54">
        <v>-100000</v>
      </c>
      <c r="G159" s="61">
        <f t="shared" si="5"/>
        <v>3545000</v>
      </c>
    </row>
    <row r="160" spans="1:7" s="5" customFormat="1" ht="15.75">
      <c r="A160" s="23" t="s">
        <v>400</v>
      </c>
      <c r="B160" s="1" t="s">
        <v>548</v>
      </c>
      <c r="C160" s="2" t="s">
        <v>4</v>
      </c>
      <c r="D160" s="2">
        <v>800</v>
      </c>
      <c r="E160" s="54">
        <f>E161</f>
        <v>55000</v>
      </c>
      <c r="F160" s="54">
        <f>F161</f>
        <v>0</v>
      </c>
      <c r="G160" s="61">
        <f t="shared" si="5"/>
        <v>55000</v>
      </c>
    </row>
    <row r="161" spans="1:7" s="5" customFormat="1" ht="15.75">
      <c r="A161" s="23" t="s">
        <v>401</v>
      </c>
      <c r="B161" s="1" t="s">
        <v>548</v>
      </c>
      <c r="C161" s="2" t="s">
        <v>4</v>
      </c>
      <c r="D161" s="2">
        <v>850</v>
      </c>
      <c r="E161" s="54">
        <v>55000</v>
      </c>
      <c r="F161" s="54"/>
      <c r="G161" s="61">
        <f t="shared" si="5"/>
        <v>55000</v>
      </c>
    </row>
    <row r="162" spans="1:7" s="5" customFormat="1" ht="15.75">
      <c r="A162" s="10" t="s">
        <v>549</v>
      </c>
      <c r="B162" s="12" t="s">
        <v>550</v>
      </c>
      <c r="C162" s="2"/>
      <c r="D162" s="2"/>
      <c r="E162" s="50">
        <f aca="true" t="shared" si="7" ref="E162:F166">E163</f>
        <v>1100000</v>
      </c>
      <c r="F162" s="50">
        <f t="shared" si="7"/>
        <v>-130000</v>
      </c>
      <c r="G162" s="60">
        <f t="shared" si="5"/>
        <v>970000</v>
      </c>
    </row>
    <row r="163" spans="1:7" s="5" customFormat="1" ht="47.25">
      <c r="A163" s="25" t="s">
        <v>495</v>
      </c>
      <c r="B163" s="1" t="s">
        <v>550</v>
      </c>
      <c r="C163" s="2" t="s">
        <v>570</v>
      </c>
      <c r="D163" s="2"/>
      <c r="E163" s="51">
        <f t="shared" si="7"/>
        <v>1100000</v>
      </c>
      <c r="F163" s="51">
        <f t="shared" si="7"/>
        <v>-130000</v>
      </c>
      <c r="G163" s="61">
        <f t="shared" si="5"/>
        <v>970000</v>
      </c>
    </row>
    <row r="164" spans="1:7" s="5" customFormat="1" ht="31.5">
      <c r="A164" s="26" t="s">
        <v>519</v>
      </c>
      <c r="B164" s="1" t="s">
        <v>550</v>
      </c>
      <c r="C164" s="2" t="s">
        <v>3</v>
      </c>
      <c r="D164" s="2"/>
      <c r="E164" s="51">
        <f t="shared" si="7"/>
        <v>1100000</v>
      </c>
      <c r="F164" s="51">
        <f t="shared" si="7"/>
        <v>-130000</v>
      </c>
      <c r="G164" s="61">
        <f t="shared" si="5"/>
        <v>970000</v>
      </c>
    </row>
    <row r="165" spans="1:7" s="5" customFormat="1" ht="31.5">
      <c r="A165" s="26" t="s">
        <v>374</v>
      </c>
      <c r="B165" s="1" t="s">
        <v>550</v>
      </c>
      <c r="C165" s="2" t="s">
        <v>5</v>
      </c>
      <c r="D165" s="2"/>
      <c r="E165" s="54">
        <f t="shared" si="7"/>
        <v>1100000</v>
      </c>
      <c r="F165" s="54">
        <f t="shared" si="7"/>
        <v>-130000</v>
      </c>
      <c r="G165" s="61">
        <f t="shared" si="5"/>
        <v>970000</v>
      </c>
    </row>
    <row r="166" spans="1:7" s="5" customFormat="1" ht="31.5">
      <c r="A166" s="23" t="s">
        <v>211</v>
      </c>
      <c r="B166" s="1" t="s">
        <v>550</v>
      </c>
      <c r="C166" s="2" t="s">
        <v>5</v>
      </c>
      <c r="D166" s="2">
        <v>200</v>
      </c>
      <c r="E166" s="54">
        <f t="shared" si="7"/>
        <v>1100000</v>
      </c>
      <c r="F166" s="54">
        <f t="shared" si="7"/>
        <v>-130000</v>
      </c>
      <c r="G166" s="61">
        <f t="shared" si="5"/>
        <v>970000</v>
      </c>
    </row>
    <row r="167" spans="1:7" s="5" customFormat="1" ht="31.5">
      <c r="A167" s="23" t="s">
        <v>396</v>
      </c>
      <c r="B167" s="1" t="s">
        <v>550</v>
      </c>
      <c r="C167" s="2" t="s">
        <v>5</v>
      </c>
      <c r="D167" s="2">
        <v>240</v>
      </c>
      <c r="E167" s="54">
        <v>1100000</v>
      </c>
      <c r="F167" s="54">
        <f>-130000</f>
        <v>-130000</v>
      </c>
      <c r="G167" s="61">
        <f t="shared" si="5"/>
        <v>970000</v>
      </c>
    </row>
    <row r="168" spans="1:7" s="5" customFormat="1" ht="15.75">
      <c r="A168" s="9" t="s">
        <v>531</v>
      </c>
      <c r="B168" s="8" t="s">
        <v>532</v>
      </c>
      <c r="C168" s="15"/>
      <c r="D168" s="15"/>
      <c r="E168" s="55">
        <f>SUM(E169,E175,E209)</f>
        <v>399959530.7</v>
      </c>
      <c r="F168" s="55">
        <f>SUM(F169,F175,F209)</f>
        <v>384509133.66</v>
      </c>
      <c r="G168" s="59">
        <f t="shared" si="5"/>
        <v>784468664.36</v>
      </c>
    </row>
    <row r="169" spans="1:7" s="5" customFormat="1" ht="15.75">
      <c r="A169" s="10" t="s">
        <v>533</v>
      </c>
      <c r="B169" s="12" t="s">
        <v>534</v>
      </c>
      <c r="C169" s="15"/>
      <c r="D169" s="15"/>
      <c r="E169" s="50">
        <f aca="true" t="shared" si="8" ref="E169:F173">E170</f>
        <v>55000000</v>
      </c>
      <c r="F169" s="50">
        <f t="shared" si="8"/>
        <v>0</v>
      </c>
      <c r="G169" s="60">
        <f t="shared" si="5"/>
        <v>55000000</v>
      </c>
    </row>
    <row r="170" spans="1:7" s="5" customFormat="1" ht="15.75">
      <c r="A170" s="27" t="s">
        <v>411</v>
      </c>
      <c r="B170" s="1" t="s">
        <v>534</v>
      </c>
      <c r="C170" s="2" t="s">
        <v>209</v>
      </c>
      <c r="D170" s="12"/>
      <c r="E170" s="53">
        <f t="shared" si="8"/>
        <v>55000000</v>
      </c>
      <c r="F170" s="53">
        <f t="shared" si="8"/>
        <v>0</v>
      </c>
      <c r="G170" s="61">
        <f t="shared" si="5"/>
        <v>55000000</v>
      </c>
    </row>
    <row r="171" spans="1:7" s="5" customFormat="1" ht="47.25">
      <c r="A171" s="25" t="s">
        <v>604</v>
      </c>
      <c r="B171" s="1" t="s">
        <v>534</v>
      </c>
      <c r="C171" s="2" t="s">
        <v>583</v>
      </c>
      <c r="D171" s="2"/>
      <c r="E171" s="51">
        <f t="shared" si="8"/>
        <v>55000000</v>
      </c>
      <c r="F171" s="51">
        <f t="shared" si="8"/>
        <v>0</v>
      </c>
      <c r="G171" s="61">
        <f t="shared" si="5"/>
        <v>55000000</v>
      </c>
    </row>
    <row r="172" spans="1:7" s="5" customFormat="1" ht="15.75">
      <c r="A172" s="25" t="s">
        <v>415</v>
      </c>
      <c r="B172" s="1" t="s">
        <v>534</v>
      </c>
      <c r="C172" s="2" t="s">
        <v>592</v>
      </c>
      <c r="D172" s="2"/>
      <c r="E172" s="51">
        <f t="shared" si="8"/>
        <v>55000000</v>
      </c>
      <c r="F172" s="51">
        <f t="shared" si="8"/>
        <v>0</v>
      </c>
      <c r="G172" s="61">
        <f t="shared" si="5"/>
        <v>55000000</v>
      </c>
    </row>
    <row r="173" spans="1:7" s="5" customFormat="1" ht="15.75">
      <c r="A173" s="23" t="s">
        <v>400</v>
      </c>
      <c r="B173" s="1" t="s">
        <v>534</v>
      </c>
      <c r="C173" s="2" t="s">
        <v>592</v>
      </c>
      <c r="D173" s="2">
        <v>800</v>
      </c>
      <c r="E173" s="51">
        <f t="shared" si="8"/>
        <v>55000000</v>
      </c>
      <c r="F173" s="51">
        <f t="shared" si="8"/>
        <v>0</v>
      </c>
      <c r="G173" s="61">
        <f t="shared" si="5"/>
        <v>55000000</v>
      </c>
    </row>
    <row r="174" spans="1:7" s="5" customFormat="1" ht="63">
      <c r="A174" s="25" t="s">
        <v>357</v>
      </c>
      <c r="B174" s="1" t="s">
        <v>534</v>
      </c>
      <c r="C174" s="2" t="s">
        <v>592</v>
      </c>
      <c r="D174" s="2">
        <v>810</v>
      </c>
      <c r="E174" s="51">
        <v>55000000</v>
      </c>
      <c r="F174" s="51"/>
      <c r="G174" s="61">
        <f t="shared" si="5"/>
        <v>55000000</v>
      </c>
    </row>
    <row r="175" spans="1:7" s="5" customFormat="1" ht="15.75">
      <c r="A175" s="10" t="s">
        <v>535</v>
      </c>
      <c r="B175" s="11" t="s">
        <v>536</v>
      </c>
      <c r="C175" s="15"/>
      <c r="D175" s="15"/>
      <c r="E175" s="50">
        <f>E181+E176</f>
        <v>331775174.7</v>
      </c>
      <c r="F175" s="50">
        <f>F181+F176</f>
        <v>384509133.66</v>
      </c>
      <c r="G175" s="60">
        <f t="shared" si="5"/>
        <v>716284308.36</v>
      </c>
    </row>
    <row r="176" spans="1:7" s="5" customFormat="1" ht="31.5">
      <c r="A176" s="24" t="s">
        <v>198</v>
      </c>
      <c r="B176" s="13" t="s">
        <v>536</v>
      </c>
      <c r="C176" s="1" t="s">
        <v>6</v>
      </c>
      <c r="D176" s="1"/>
      <c r="E176" s="51">
        <f aca="true" t="shared" si="9" ref="E176:F179">E177</f>
        <v>300000</v>
      </c>
      <c r="F176" s="51">
        <f t="shared" si="9"/>
        <v>0</v>
      </c>
      <c r="G176" s="61">
        <f t="shared" si="5"/>
        <v>300000</v>
      </c>
    </row>
    <row r="177" spans="1:7" s="5" customFormat="1" ht="15.75">
      <c r="A177" s="42" t="s">
        <v>524</v>
      </c>
      <c r="B177" s="13" t="s">
        <v>536</v>
      </c>
      <c r="C177" s="1" t="s">
        <v>7</v>
      </c>
      <c r="D177" s="1"/>
      <c r="E177" s="51">
        <f t="shared" si="9"/>
        <v>300000</v>
      </c>
      <c r="F177" s="51">
        <f t="shared" si="9"/>
        <v>0</v>
      </c>
      <c r="G177" s="61">
        <f t="shared" si="5"/>
        <v>300000</v>
      </c>
    </row>
    <row r="178" spans="1:7" s="5" customFormat="1" ht="31.5">
      <c r="A178" s="24" t="s">
        <v>366</v>
      </c>
      <c r="B178" s="13" t="s">
        <v>536</v>
      </c>
      <c r="C178" s="2" t="s">
        <v>8</v>
      </c>
      <c r="D178" s="1"/>
      <c r="E178" s="51">
        <f t="shared" si="9"/>
        <v>300000</v>
      </c>
      <c r="F178" s="51">
        <f t="shared" si="9"/>
        <v>0</v>
      </c>
      <c r="G178" s="61">
        <f t="shared" si="5"/>
        <v>300000</v>
      </c>
    </row>
    <row r="179" spans="1:7" s="5" customFormat="1" ht="31.5">
      <c r="A179" s="23" t="s">
        <v>211</v>
      </c>
      <c r="B179" s="13" t="s">
        <v>536</v>
      </c>
      <c r="C179" s="2" t="s">
        <v>8</v>
      </c>
      <c r="D179" s="1" t="s">
        <v>404</v>
      </c>
      <c r="E179" s="51">
        <f t="shared" si="9"/>
        <v>300000</v>
      </c>
      <c r="F179" s="51">
        <f t="shared" si="9"/>
        <v>0</v>
      </c>
      <c r="G179" s="61">
        <f t="shared" si="5"/>
        <v>300000</v>
      </c>
    </row>
    <row r="180" spans="1:7" s="5" customFormat="1" ht="31.5">
      <c r="A180" s="23" t="s">
        <v>396</v>
      </c>
      <c r="B180" s="13" t="s">
        <v>536</v>
      </c>
      <c r="C180" s="2" t="s">
        <v>8</v>
      </c>
      <c r="D180" s="1" t="s">
        <v>405</v>
      </c>
      <c r="E180" s="51">
        <v>300000</v>
      </c>
      <c r="F180" s="51"/>
      <c r="G180" s="61">
        <f t="shared" si="5"/>
        <v>300000</v>
      </c>
    </row>
    <row r="181" spans="1:7" s="5" customFormat="1" ht="31.5">
      <c r="A181" s="25" t="s">
        <v>199</v>
      </c>
      <c r="B181" s="13" t="s">
        <v>536</v>
      </c>
      <c r="C181" s="2" t="s">
        <v>9</v>
      </c>
      <c r="D181" s="2"/>
      <c r="E181" s="51">
        <f>SUM(E182,E188,E191,E194,E197,E185,E200,E203,E206)</f>
        <v>331475174.7</v>
      </c>
      <c r="F181" s="51">
        <f>SUM(F182,F188,F191,F194,F197,F185,F200,F203,F206)</f>
        <v>384509133.66</v>
      </c>
      <c r="G181" s="61">
        <f t="shared" si="5"/>
        <v>715984308.36</v>
      </c>
    </row>
    <row r="182" spans="1:7" s="5" customFormat="1" ht="31.5">
      <c r="A182" s="25" t="s">
        <v>178</v>
      </c>
      <c r="B182" s="13" t="s">
        <v>536</v>
      </c>
      <c r="C182" s="2" t="s">
        <v>10</v>
      </c>
      <c r="D182" s="2"/>
      <c r="E182" s="51">
        <f>SUM(E183)</f>
        <v>80000000</v>
      </c>
      <c r="F182" s="51">
        <f>SUM(F183)</f>
        <v>-31273983</v>
      </c>
      <c r="G182" s="61">
        <f t="shared" si="5"/>
        <v>48726017</v>
      </c>
    </row>
    <row r="183" spans="1:7" s="5" customFormat="1" ht="15.75">
      <c r="A183" s="25" t="s">
        <v>400</v>
      </c>
      <c r="B183" s="13" t="s">
        <v>536</v>
      </c>
      <c r="C183" s="2" t="s">
        <v>10</v>
      </c>
      <c r="D183" s="2">
        <v>800</v>
      </c>
      <c r="E183" s="51">
        <f>E184</f>
        <v>80000000</v>
      </c>
      <c r="F183" s="51">
        <f>F184</f>
        <v>-31273983</v>
      </c>
      <c r="G183" s="61">
        <f t="shared" si="5"/>
        <v>48726017</v>
      </c>
    </row>
    <row r="184" spans="1:7" s="5" customFormat="1" ht="63">
      <c r="A184" s="25" t="s">
        <v>357</v>
      </c>
      <c r="B184" s="13" t="s">
        <v>536</v>
      </c>
      <c r="C184" s="2" t="s">
        <v>10</v>
      </c>
      <c r="D184" s="2">
        <v>810</v>
      </c>
      <c r="E184" s="51">
        <v>80000000</v>
      </c>
      <c r="F184" s="51">
        <f>-23850000-866483-6557500</f>
        <v>-31273983</v>
      </c>
      <c r="G184" s="61">
        <f t="shared" si="5"/>
        <v>48726017</v>
      </c>
    </row>
    <row r="185" spans="1:7" s="5" customFormat="1" ht="36" customHeight="1">
      <c r="A185" s="25" t="s">
        <v>293</v>
      </c>
      <c r="B185" s="13" t="s">
        <v>536</v>
      </c>
      <c r="C185" s="2" t="s">
        <v>292</v>
      </c>
      <c r="D185" s="1"/>
      <c r="E185" s="51">
        <f>E186</f>
        <v>19275174.7</v>
      </c>
      <c r="F185" s="51">
        <f>F186</f>
        <v>0</v>
      </c>
      <c r="G185" s="61">
        <f>SUM(E185:F185)</f>
        <v>19275174.7</v>
      </c>
    </row>
    <row r="186" spans="1:7" s="5" customFormat="1" ht="31.5">
      <c r="A186" s="23" t="s">
        <v>211</v>
      </c>
      <c r="B186" s="13" t="s">
        <v>536</v>
      </c>
      <c r="C186" s="2" t="s">
        <v>292</v>
      </c>
      <c r="D186" s="1" t="s">
        <v>404</v>
      </c>
      <c r="E186" s="51">
        <f>E187</f>
        <v>19275174.7</v>
      </c>
      <c r="F186" s="51">
        <f>F187</f>
        <v>0</v>
      </c>
      <c r="G186" s="61">
        <f>SUM(E186:F186)</f>
        <v>19275174.7</v>
      </c>
    </row>
    <row r="187" spans="1:7" s="5" customFormat="1" ht="31.5">
      <c r="A187" s="25" t="s">
        <v>396</v>
      </c>
      <c r="B187" s="13" t="s">
        <v>536</v>
      </c>
      <c r="C187" s="2" t="s">
        <v>292</v>
      </c>
      <c r="D187" s="1" t="s">
        <v>405</v>
      </c>
      <c r="E187" s="51">
        <v>19275174.7</v>
      </c>
      <c r="F187" s="51"/>
      <c r="G187" s="61">
        <f>SUM(E187:F187)</f>
        <v>19275174.7</v>
      </c>
    </row>
    <row r="188" spans="1:7" s="5" customFormat="1" ht="31.5">
      <c r="A188" s="25" t="s">
        <v>183</v>
      </c>
      <c r="B188" s="13" t="s">
        <v>536</v>
      </c>
      <c r="C188" s="2" t="s">
        <v>11</v>
      </c>
      <c r="D188" s="2"/>
      <c r="E188" s="51">
        <f>E189</f>
        <v>10000000</v>
      </c>
      <c r="F188" s="51">
        <f>F189</f>
        <v>-777500</v>
      </c>
      <c r="G188" s="61">
        <f t="shared" si="5"/>
        <v>9222500</v>
      </c>
    </row>
    <row r="189" spans="1:7" s="5" customFormat="1" ht="15.75">
      <c r="A189" s="23" t="s">
        <v>400</v>
      </c>
      <c r="B189" s="13" t="s">
        <v>536</v>
      </c>
      <c r="C189" s="2" t="s">
        <v>11</v>
      </c>
      <c r="D189" s="2">
        <v>800</v>
      </c>
      <c r="E189" s="51">
        <f>E190</f>
        <v>10000000</v>
      </c>
      <c r="F189" s="51">
        <f>F190</f>
        <v>-777500</v>
      </c>
      <c r="G189" s="61">
        <f t="shared" si="5"/>
        <v>9222500</v>
      </c>
    </row>
    <row r="190" spans="1:7" s="4" customFormat="1" ht="63">
      <c r="A190" s="25" t="s">
        <v>357</v>
      </c>
      <c r="B190" s="13" t="s">
        <v>536</v>
      </c>
      <c r="C190" s="2" t="s">
        <v>11</v>
      </c>
      <c r="D190" s="2">
        <v>810</v>
      </c>
      <c r="E190" s="51">
        <v>10000000</v>
      </c>
      <c r="F190" s="51">
        <f>-777500</f>
        <v>-777500</v>
      </c>
      <c r="G190" s="61">
        <f t="shared" si="5"/>
        <v>9222500</v>
      </c>
    </row>
    <row r="191" spans="1:7" s="4" customFormat="1" ht="47.25">
      <c r="A191" s="25" t="s">
        <v>179</v>
      </c>
      <c r="B191" s="13" t="s">
        <v>536</v>
      </c>
      <c r="C191" s="2" t="s">
        <v>12</v>
      </c>
      <c r="D191" s="2"/>
      <c r="E191" s="51">
        <f>E192</f>
        <v>25000000</v>
      </c>
      <c r="F191" s="51">
        <f>F192</f>
        <v>0</v>
      </c>
      <c r="G191" s="61">
        <f t="shared" si="5"/>
        <v>25000000</v>
      </c>
    </row>
    <row r="192" spans="1:7" s="5" customFormat="1" ht="15.75">
      <c r="A192" s="23" t="s">
        <v>400</v>
      </c>
      <c r="B192" s="13" t="s">
        <v>536</v>
      </c>
      <c r="C192" s="2" t="s">
        <v>12</v>
      </c>
      <c r="D192" s="2">
        <v>800</v>
      </c>
      <c r="E192" s="51">
        <f>E193</f>
        <v>25000000</v>
      </c>
      <c r="F192" s="51">
        <f>F193</f>
        <v>0</v>
      </c>
      <c r="G192" s="61">
        <f t="shared" si="5"/>
        <v>25000000</v>
      </c>
    </row>
    <row r="193" spans="1:7" s="5" customFormat="1" ht="63">
      <c r="A193" s="25" t="s">
        <v>357</v>
      </c>
      <c r="B193" s="13" t="s">
        <v>536</v>
      </c>
      <c r="C193" s="2" t="s">
        <v>12</v>
      </c>
      <c r="D193" s="2">
        <v>810</v>
      </c>
      <c r="E193" s="51">
        <v>25000000</v>
      </c>
      <c r="F193" s="51"/>
      <c r="G193" s="61">
        <f t="shared" si="5"/>
        <v>25000000</v>
      </c>
    </row>
    <row r="194" spans="1:7" s="5" customFormat="1" ht="47.25">
      <c r="A194" s="25" t="s">
        <v>182</v>
      </c>
      <c r="B194" s="13" t="s">
        <v>536</v>
      </c>
      <c r="C194" s="2" t="s">
        <v>13</v>
      </c>
      <c r="D194" s="2"/>
      <c r="E194" s="51">
        <f>E195</f>
        <v>160000000</v>
      </c>
      <c r="F194" s="51">
        <f>F195</f>
        <v>16300000</v>
      </c>
      <c r="G194" s="61">
        <f t="shared" si="5"/>
        <v>176300000</v>
      </c>
    </row>
    <row r="195" spans="1:7" s="5" customFormat="1" ht="15.75">
      <c r="A195" s="25" t="s">
        <v>400</v>
      </c>
      <c r="B195" s="13" t="s">
        <v>536</v>
      </c>
      <c r="C195" s="2" t="s">
        <v>13</v>
      </c>
      <c r="D195" s="2">
        <v>800</v>
      </c>
      <c r="E195" s="51">
        <f>E196</f>
        <v>160000000</v>
      </c>
      <c r="F195" s="51">
        <f>F196</f>
        <v>16300000</v>
      </c>
      <c r="G195" s="61">
        <f t="shared" si="5"/>
        <v>176300000</v>
      </c>
    </row>
    <row r="196" spans="1:7" s="5" customFormat="1" ht="63">
      <c r="A196" s="25" t="s">
        <v>357</v>
      </c>
      <c r="B196" s="13" t="s">
        <v>536</v>
      </c>
      <c r="C196" s="2" t="s">
        <v>13</v>
      </c>
      <c r="D196" s="2">
        <v>810</v>
      </c>
      <c r="E196" s="51">
        <v>160000000</v>
      </c>
      <c r="F196" s="51">
        <v>16300000</v>
      </c>
      <c r="G196" s="61">
        <f t="shared" si="5"/>
        <v>176300000</v>
      </c>
    </row>
    <row r="197" spans="1:7" s="5" customFormat="1" ht="47.25">
      <c r="A197" s="27" t="s">
        <v>419</v>
      </c>
      <c r="B197" s="13" t="s">
        <v>536</v>
      </c>
      <c r="C197" s="2" t="s">
        <v>14</v>
      </c>
      <c r="D197" s="2"/>
      <c r="E197" s="51">
        <f>E198</f>
        <v>17200000</v>
      </c>
      <c r="F197" s="51">
        <f>F198</f>
        <v>1000000</v>
      </c>
      <c r="G197" s="61">
        <f t="shared" si="5"/>
        <v>18200000</v>
      </c>
    </row>
    <row r="198" spans="1:7" s="5" customFormat="1" ht="15.75">
      <c r="A198" s="25" t="s">
        <v>400</v>
      </c>
      <c r="B198" s="13" t="s">
        <v>536</v>
      </c>
      <c r="C198" s="2" t="s">
        <v>14</v>
      </c>
      <c r="D198" s="2">
        <v>800</v>
      </c>
      <c r="E198" s="51">
        <f>E199</f>
        <v>17200000</v>
      </c>
      <c r="F198" s="51">
        <f>F199</f>
        <v>1000000</v>
      </c>
      <c r="G198" s="61">
        <f t="shared" si="5"/>
        <v>18200000</v>
      </c>
    </row>
    <row r="199" spans="1:7" s="5" customFormat="1" ht="63">
      <c r="A199" s="25" t="s">
        <v>357</v>
      </c>
      <c r="B199" s="13" t="s">
        <v>536</v>
      </c>
      <c r="C199" s="2" t="s">
        <v>14</v>
      </c>
      <c r="D199" s="2">
        <v>810</v>
      </c>
      <c r="E199" s="51">
        <v>17200000</v>
      </c>
      <c r="F199" s="51">
        <v>1000000</v>
      </c>
      <c r="G199" s="61">
        <f t="shared" si="5"/>
        <v>18200000</v>
      </c>
    </row>
    <row r="200" spans="1:7" s="5" customFormat="1" ht="31.5">
      <c r="A200" s="25" t="s">
        <v>309</v>
      </c>
      <c r="B200" s="13" t="s">
        <v>536</v>
      </c>
      <c r="C200" s="1" t="s">
        <v>308</v>
      </c>
      <c r="D200" s="2"/>
      <c r="E200" s="51">
        <f>E201</f>
        <v>20000000</v>
      </c>
      <c r="F200" s="51">
        <f>F201</f>
        <v>-16195900.34</v>
      </c>
      <c r="G200" s="61">
        <f aca="true" t="shared" si="10" ref="G200:G208">SUM(E200:F200)</f>
        <v>3804099.66</v>
      </c>
    </row>
    <row r="201" spans="1:7" s="5" customFormat="1" ht="31.5">
      <c r="A201" s="25" t="s">
        <v>390</v>
      </c>
      <c r="B201" s="13" t="s">
        <v>536</v>
      </c>
      <c r="C201" s="1" t="s">
        <v>308</v>
      </c>
      <c r="D201" s="2">
        <v>400</v>
      </c>
      <c r="E201" s="51">
        <f>E202</f>
        <v>20000000</v>
      </c>
      <c r="F201" s="51">
        <f>F202</f>
        <v>-16195900.34</v>
      </c>
      <c r="G201" s="61">
        <f t="shared" si="10"/>
        <v>3804099.66</v>
      </c>
    </row>
    <row r="202" spans="1:7" s="5" customFormat="1" ht="15.75">
      <c r="A202" s="25" t="s">
        <v>391</v>
      </c>
      <c r="B202" s="13" t="s">
        <v>536</v>
      </c>
      <c r="C202" s="1" t="s">
        <v>308</v>
      </c>
      <c r="D202" s="2">
        <v>410</v>
      </c>
      <c r="E202" s="51">
        <v>20000000</v>
      </c>
      <c r="F202" s="51">
        <f>-4145900.34-3050000-9000000</f>
        <v>-16195900.34</v>
      </c>
      <c r="G202" s="61">
        <f t="shared" si="10"/>
        <v>3804099.66</v>
      </c>
    </row>
    <row r="203" spans="1:7" s="5" customFormat="1" ht="94.5">
      <c r="A203" s="25" t="s">
        <v>328</v>
      </c>
      <c r="B203" s="13" t="s">
        <v>536</v>
      </c>
      <c r="C203" s="1" t="s">
        <v>329</v>
      </c>
      <c r="D203" s="2"/>
      <c r="E203" s="51">
        <f>E204</f>
        <v>0</v>
      </c>
      <c r="F203" s="51">
        <f>F204</f>
        <v>866483</v>
      </c>
      <c r="G203" s="61">
        <f t="shared" si="10"/>
        <v>866483</v>
      </c>
    </row>
    <row r="204" spans="1:7" s="5" customFormat="1" ht="31.5">
      <c r="A204" s="25" t="s">
        <v>309</v>
      </c>
      <c r="B204" s="13" t="s">
        <v>536</v>
      </c>
      <c r="C204" s="1" t="s">
        <v>329</v>
      </c>
      <c r="D204" s="2">
        <v>400</v>
      </c>
      <c r="E204" s="51">
        <f>E205</f>
        <v>0</v>
      </c>
      <c r="F204" s="51">
        <f>F205</f>
        <v>866483</v>
      </c>
      <c r="G204" s="61">
        <f t="shared" si="10"/>
        <v>866483</v>
      </c>
    </row>
    <row r="205" spans="1:7" s="5" customFormat="1" ht="31.5">
      <c r="A205" s="25" t="s">
        <v>390</v>
      </c>
      <c r="B205" s="13" t="s">
        <v>536</v>
      </c>
      <c r="C205" s="1" t="s">
        <v>329</v>
      </c>
      <c r="D205" s="2">
        <v>410</v>
      </c>
      <c r="E205" s="51"/>
      <c r="F205" s="51">
        <v>866483</v>
      </c>
      <c r="G205" s="61">
        <f t="shared" si="10"/>
        <v>866483</v>
      </c>
    </row>
    <row r="206" spans="1:7" s="5" customFormat="1" ht="78.75">
      <c r="A206" s="25" t="s">
        <v>330</v>
      </c>
      <c r="B206" s="13" t="s">
        <v>536</v>
      </c>
      <c r="C206" s="1" t="s">
        <v>331</v>
      </c>
      <c r="D206" s="2"/>
      <c r="E206" s="51">
        <f>E207</f>
        <v>0</v>
      </c>
      <c r="F206" s="51">
        <f>F207</f>
        <v>414590034</v>
      </c>
      <c r="G206" s="61">
        <f t="shared" si="10"/>
        <v>414590034</v>
      </c>
    </row>
    <row r="207" spans="1:7" s="5" customFormat="1" ht="31.5">
      <c r="A207" s="25" t="s">
        <v>309</v>
      </c>
      <c r="B207" s="13" t="s">
        <v>536</v>
      </c>
      <c r="C207" s="1" t="s">
        <v>331</v>
      </c>
      <c r="D207" s="2">
        <v>400</v>
      </c>
      <c r="E207" s="51">
        <f>E208</f>
        <v>0</v>
      </c>
      <c r="F207" s="51">
        <f>F208</f>
        <v>414590034</v>
      </c>
      <c r="G207" s="61">
        <f t="shared" si="10"/>
        <v>414590034</v>
      </c>
    </row>
    <row r="208" spans="1:7" s="5" customFormat="1" ht="31.5">
      <c r="A208" s="25" t="s">
        <v>390</v>
      </c>
      <c r="B208" s="13" t="s">
        <v>536</v>
      </c>
      <c r="C208" s="1" t="s">
        <v>331</v>
      </c>
      <c r="D208" s="2">
        <v>410</v>
      </c>
      <c r="E208" s="51"/>
      <c r="F208" s="51">
        <f>410444133.66+4145900.34</f>
        <v>414590034</v>
      </c>
      <c r="G208" s="61">
        <f t="shared" si="10"/>
        <v>414590034</v>
      </c>
    </row>
    <row r="209" spans="1:7" s="5" customFormat="1" ht="19.5" customHeight="1">
      <c r="A209" s="10" t="s">
        <v>537</v>
      </c>
      <c r="B209" s="12" t="s">
        <v>538</v>
      </c>
      <c r="C209" s="15"/>
      <c r="D209" s="15"/>
      <c r="E209" s="50">
        <f>SUM(E240,E210,E248)</f>
        <v>13184356</v>
      </c>
      <c r="F209" s="50">
        <f>SUM(F240,F210,F248)</f>
        <v>0</v>
      </c>
      <c r="G209" s="60">
        <f t="shared" si="5"/>
        <v>13184356</v>
      </c>
    </row>
    <row r="210" spans="1:7" s="5" customFormat="1" ht="47.25">
      <c r="A210" s="25" t="s">
        <v>200</v>
      </c>
      <c r="B210" s="1" t="s">
        <v>538</v>
      </c>
      <c r="C210" s="2" t="s">
        <v>15</v>
      </c>
      <c r="D210" s="2"/>
      <c r="E210" s="51">
        <f>SUM(E211,E230)</f>
        <v>12594086</v>
      </c>
      <c r="F210" s="51">
        <f>SUM(F211,F230)</f>
        <v>0</v>
      </c>
      <c r="G210" s="61">
        <f t="shared" si="5"/>
        <v>12594086</v>
      </c>
    </row>
    <row r="211" spans="1:7" s="5" customFormat="1" ht="31.5">
      <c r="A211" s="25" t="s">
        <v>520</v>
      </c>
      <c r="B211" s="1" t="s">
        <v>538</v>
      </c>
      <c r="C211" s="2" t="s">
        <v>16</v>
      </c>
      <c r="D211" s="2"/>
      <c r="E211" s="51">
        <f>SUM(E212,E215,E221,E227,E218,E224)</f>
        <v>3148860</v>
      </c>
      <c r="F211" s="51">
        <f>SUM(F212,F215,F221,F227,F218,F224)</f>
        <v>-100000</v>
      </c>
      <c r="G211" s="61">
        <f t="shared" si="5"/>
        <v>3048860</v>
      </c>
    </row>
    <row r="212" spans="1:7" s="5" customFormat="1" ht="78.75">
      <c r="A212" s="25" t="s">
        <v>379</v>
      </c>
      <c r="B212" s="1" t="s">
        <v>538</v>
      </c>
      <c r="C212" s="2" t="s">
        <v>17</v>
      </c>
      <c r="D212" s="2"/>
      <c r="E212" s="51">
        <f>E213</f>
        <v>100000</v>
      </c>
      <c r="F212" s="51">
        <f>F213</f>
        <v>0</v>
      </c>
      <c r="G212" s="61">
        <f t="shared" si="5"/>
        <v>100000</v>
      </c>
    </row>
    <row r="213" spans="1:7" s="5" customFormat="1" ht="15.75">
      <c r="A213" s="25" t="s">
        <v>400</v>
      </c>
      <c r="B213" s="1" t="s">
        <v>538</v>
      </c>
      <c r="C213" s="2" t="s">
        <v>17</v>
      </c>
      <c r="D213" s="2">
        <v>800</v>
      </c>
      <c r="E213" s="51">
        <f>E214</f>
        <v>100000</v>
      </c>
      <c r="F213" s="51">
        <f>F214</f>
        <v>0</v>
      </c>
      <c r="G213" s="61">
        <f t="shared" si="5"/>
        <v>100000</v>
      </c>
    </row>
    <row r="214" spans="1:7" s="5" customFormat="1" ht="63">
      <c r="A214" s="25" t="s">
        <v>357</v>
      </c>
      <c r="B214" s="1" t="s">
        <v>538</v>
      </c>
      <c r="C214" s="2" t="s">
        <v>17</v>
      </c>
      <c r="D214" s="2">
        <v>810</v>
      </c>
      <c r="E214" s="51">
        <v>100000</v>
      </c>
      <c r="F214" s="51"/>
      <c r="G214" s="61">
        <f t="shared" si="5"/>
        <v>100000</v>
      </c>
    </row>
    <row r="215" spans="1:7" s="5" customFormat="1" ht="47.25">
      <c r="A215" s="25" t="s">
        <v>163</v>
      </c>
      <c r="B215" s="1" t="s">
        <v>538</v>
      </c>
      <c r="C215" s="2" t="s">
        <v>18</v>
      </c>
      <c r="D215" s="2"/>
      <c r="E215" s="51">
        <f>E216</f>
        <v>800000</v>
      </c>
      <c r="F215" s="51">
        <f>F216</f>
        <v>0</v>
      </c>
      <c r="G215" s="61">
        <f t="shared" si="5"/>
        <v>800000</v>
      </c>
    </row>
    <row r="216" spans="1:7" s="5" customFormat="1" ht="15.75">
      <c r="A216" s="25" t="s">
        <v>400</v>
      </c>
      <c r="B216" s="1" t="s">
        <v>538</v>
      </c>
      <c r="C216" s="2" t="s">
        <v>18</v>
      </c>
      <c r="D216" s="2">
        <v>800</v>
      </c>
      <c r="E216" s="51">
        <f>E217</f>
        <v>800000</v>
      </c>
      <c r="F216" s="51">
        <f>F217</f>
        <v>0</v>
      </c>
      <c r="G216" s="61">
        <f t="shared" si="5"/>
        <v>800000</v>
      </c>
    </row>
    <row r="217" spans="1:7" s="5" customFormat="1" ht="63">
      <c r="A217" s="25" t="s">
        <v>357</v>
      </c>
      <c r="B217" s="1" t="s">
        <v>538</v>
      </c>
      <c r="C217" s="2" t="s">
        <v>18</v>
      </c>
      <c r="D217" s="2">
        <v>810</v>
      </c>
      <c r="E217" s="51">
        <v>800000</v>
      </c>
      <c r="F217" s="51"/>
      <c r="G217" s="61">
        <f t="shared" si="5"/>
        <v>800000</v>
      </c>
    </row>
    <row r="218" spans="1:7" s="5" customFormat="1" ht="47.25">
      <c r="A218" s="25" t="s">
        <v>299</v>
      </c>
      <c r="B218" s="1" t="s">
        <v>538</v>
      </c>
      <c r="C218" s="2" t="s">
        <v>298</v>
      </c>
      <c r="D218" s="2"/>
      <c r="E218" s="51">
        <f>E219</f>
        <v>1161645</v>
      </c>
      <c r="F218" s="51">
        <f>F219</f>
        <v>0</v>
      </c>
      <c r="G218" s="61">
        <f>SUM(E218:F218)</f>
        <v>1161645</v>
      </c>
    </row>
    <row r="219" spans="1:7" s="5" customFormat="1" ht="15.75">
      <c r="A219" s="25" t="s">
        <v>400</v>
      </c>
      <c r="B219" s="1" t="s">
        <v>538</v>
      </c>
      <c r="C219" s="2" t="s">
        <v>298</v>
      </c>
      <c r="D219" s="2">
        <v>800</v>
      </c>
      <c r="E219" s="51">
        <f>E220</f>
        <v>1161645</v>
      </c>
      <c r="F219" s="51">
        <f>F220</f>
        <v>0</v>
      </c>
      <c r="G219" s="61">
        <f>SUM(E219:F219)</f>
        <v>1161645</v>
      </c>
    </row>
    <row r="220" spans="1:7" s="5" customFormat="1" ht="63">
      <c r="A220" s="25" t="s">
        <v>357</v>
      </c>
      <c r="B220" s="1" t="s">
        <v>538</v>
      </c>
      <c r="C220" s="2" t="s">
        <v>298</v>
      </c>
      <c r="D220" s="2">
        <v>810</v>
      </c>
      <c r="E220" s="51">
        <v>1161645</v>
      </c>
      <c r="F220" s="51"/>
      <c r="G220" s="61">
        <f>SUM(E220:F220)</f>
        <v>1161645</v>
      </c>
    </row>
    <row r="221" spans="1:7" s="4" customFormat="1" ht="78.75">
      <c r="A221" s="25" t="s">
        <v>164</v>
      </c>
      <c r="B221" s="1" t="s">
        <v>538</v>
      </c>
      <c r="C221" s="2" t="s">
        <v>19</v>
      </c>
      <c r="D221" s="2"/>
      <c r="E221" s="51">
        <f>E222</f>
        <v>600000</v>
      </c>
      <c r="F221" s="51">
        <f>F222</f>
        <v>0</v>
      </c>
      <c r="G221" s="61">
        <f t="shared" si="5"/>
        <v>600000</v>
      </c>
    </row>
    <row r="222" spans="1:7" s="4" customFormat="1" ht="15.75">
      <c r="A222" s="25" t="s">
        <v>400</v>
      </c>
      <c r="B222" s="1" t="s">
        <v>538</v>
      </c>
      <c r="C222" s="2" t="s">
        <v>19</v>
      </c>
      <c r="D222" s="2">
        <v>800</v>
      </c>
      <c r="E222" s="51">
        <f>E223</f>
        <v>600000</v>
      </c>
      <c r="F222" s="51">
        <f>F223</f>
        <v>0</v>
      </c>
      <c r="G222" s="61">
        <f t="shared" si="5"/>
        <v>600000</v>
      </c>
    </row>
    <row r="223" spans="1:7" s="4" customFormat="1" ht="63">
      <c r="A223" s="25" t="s">
        <v>357</v>
      </c>
      <c r="B223" s="1" t="s">
        <v>538</v>
      </c>
      <c r="C223" s="2" t="s">
        <v>19</v>
      </c>
      <c r="D223" s="2">
        <v>810</v>
      </c>
      <c r="E223" s="51">
        <v>600000</v>
      </c>
      <c r="F223" s="51"/>
      <c r="G223" s="61">
        <f t="shared" si="5"/>
        <v>600000</v>
      </c>
    </row>
    <row r="224" spans="1:7" s="4" customFormat="1" ht="94.5">
      <c r="A224" s="25" t="s">
        <v>301</v>
      </c>
      <c r="B224" s="1" t="s">
        <v>538</v>
      </c>
      <c r="C224" s="2" t="s">
        <v>300</v>
      </c>
      <c r="D224" s="2"/>
      <c r="E224" s="51">
        <f>E225</f>
        <v>387215</v>
      </c>
      <c r="F224" s="51">
        <f>F225</f>
        <v>0</v>
      </c>
      <c r="G224" s="61">
        <f>SUM(E224:F224)</f>
        <v>387215</v>
      </c>
    </row>
    <row r="225" spans="1:7" s="4" customFormat="1" ht="15.75">
      <c r="A225" s="25" t="s">
        <v>400</v>
      </c>
      <c r="B225" s="1" t="s">
        <v>538</v>
      </c>
      <c r="C225" s="2" t="s">
        <v>300</v>
      </c>
      <c r="D225" s="2">
        <v>800</v>
      </c>
      <c r="E225" s="51">
        <f>E226</f>
        <v>387215</v>
      </c>
      <c r="F225" s="51">
        <f>F226</f>
        <v>0</v>
      </c>
      <c r="G225" s="61">
        <f>SUM(E225:F225)</f>
        <v>387215</v>
      </c>
    </row>
    <row r="226" spans="1:7" s="4" customFormat="1" ht="63">
      <c r="A226" s="25" t="s">
        <v>357</v>
      </c>
      <c r="B226" s="1" t="s">
        <v>538</v>
      </c>
      <c r="C226" s="2" t="s">
        <v>300</v>
      </c>
      <c r="D226" s="2">
        <v>810</v>
      </c>
      <c r="E226" s="51">
        <v>387215</v>
      </c>
      <c r="F226" s="51"/>
      <c r="G226" s="61">
        <f>SUM(E226:F226)</f>
        <v>387215</v>
      </c>
    </row>
    <row r="227" spans="1:7" s="4" customFormat="1" ht="47.25">
      <c r="A227" s="25" t="s">
        <v>380</v>
      </c>
      <c r="B227" s="1" t="s">
        <v>538</v>
      </c>
      <c r="C227" s="2" t="s">
        <v>20</v>
      </c>
      <c r="D227" s="2"/>
      <c r="E227" s="51">
        <f>E228</f>
        <v>100000</v>
      </c>
      <c r="F227" s="51">
        <f>F228</f>
        <v>-100000</v>
      </c>
      <c r="G227" s="61">
        <f t="shared" si="5"/>
        <v>0</v>
      </c>
    </row>
    <row r="228" spans="1:7" s="4" customFormat="1" ht="31.5">
      <c r="A228" s="23" t="s">
        <v>211</v>
      </c>
      <c r="B228" s="1" t="s">
        <v>538</v>
      </c>
      <c r="C228" s="2" t="s">
        <v>20</v>
      </c>
      <c r="D228" s="2">
        <v>200</v>
      </c>
      <c r="E228" s="51">
        <f>E229</f>
        <v>100000</v>
      </c>
      <c r="F228" s="51">
        <f>F229</f>
        <v>-100000</v>
      </c>
      <c r="G228" s="61">
        <f t="shared" si="5"/>
        <v>0</v>
      </c>
    </row>
    <row r="229" spans="1:7" s="5" customFormat="1" ht="31.5">
      <c r="A229" s="23" t="s">
        <v>396</v>
      </c>
      <c r="B229" s="1" t="s">
        <v>538</v>
      </c>
      <c r="C229" s="2" t="s">
        <v>20</v>
      </c>
      <c r="D229" s="2">
        <v>240</v>
      </c>
      <c r="E229" s="51">
        <v>100000</v>
      </c>
      <c r="F229" s="51">
        <v>-100000</v>
      </c>
      <c r="G229" s="61">
        <f t="shared" si="5"/>
        <v>0</v>
      </c>
    </row>
    <row r="230" spans="1:7" s="5" customFormat="1" ht="31.5">
      <c r="A230" s="25" t="s">
        <v>521</v>
      </c>
      <c r="B230" s="1" t="s">
        <v>538</v>
      </c>
      <c r="C230" s="2" t="s">
        <v>21</v>
      </c>
      <c r="D230" s="2"/>
      <c r="E230" s="51">
        <f>SUM(E231,E234,E237)</f>
        <v>9445226</v>
      </c>
      <c r="F230" s="51">
        <f>SUM(F231,F234,F237)</f>
        <v>100000</v>
      </c>
      <c r="G230" s="61">
        <f t="shared" si="5"/>
        <v>9545226</v>
      </c>
    </row>
    <row r="231" spans="1:7" s="5" customFormat="1" ht="47.25">
      <c r="A231" s="25" t="s">
        <v>165</v>
      </c>
      <c r="B231" s="1" t="s">
        <v>538</v>
      </c>
      <c r="C231" s="2" t="s">
        <v>22</v>
      </c>
      <c r="D231" s="2"/>
      <c r="E231" s="51">
        <f>E232</f>
        <v>1044246</v>
      </c>
      <c r="F231" s="51">
        <f>F232</f>
        <v>206971.8</v>
      </c>
      <c r="G231" s="61">
        <f t="shared" si="5"/>
        <v>1251217.8</v>
      </c>
    </row>
    <row r="232" spans="1:7" s="5" customFormat="1" ht="15.75">
      <c r="A232" s="25" t="s">
        <v>400</v>
      </c>
      <c r="B232" s="1" t="s">
        <v>538</v>
      </c>
      <c r="C232" s="2" t="s">
        <v>22</v>
      </c>
      <c r="D232" s="2">
        <v>800</v>
      </c>
      <c r="E232" s="51">
        <f>E233</f>
        <v>1044246</v>
      </c>
      <c r="F232" s="51">
        <f>F233</f>
        <v>206971.8</v>
      </c>
      <c r="G232" s="61">
        <f aca="true" t="shared" si="11" ref="G232:G302">SUM(E232:F232)</f>
        <v>1251217.8</v>
      </c>
    </row>
    <row r="233" spans="1:7" s="5" customFormat="1" ht="63">
      <c r="A233" s="25" t="s">
        <v>357</v>
      </c>
      <c r="B233" s="1" t="s">
        <v>538</v>
      </c>
      <c r="C233" s="2" t="s">
        <v>22</v>
      </c>
      <c r="D233" s="2">
        <v>810</v>
      </c>
      <c r="E233" s="51">
        <v>1044246</v>
      </c>
      <c r="F233" s="51">
        <v>206971.8</v>
      </c>
      <c r="G233" s="61">
        <f t="shared" si="11"/>
        <v>1251217.8</v>
      </c>
    </row>
    <row r="234" spans="1:7" s="5" customFormat="1" ht="47.25">
      <c r="A234" s="25" t="s">
        <v>381</v>
      </c>
      <c r="B234" s="1" t="s">
        <v>538</v>
      </c>
      <c r="C234" s="2" t="s">
        <v>23</v>
      </c>
      <c r="D234" s="2"/>
      <c r="E234" s="51">
        <f>E235</f>
        <v>900000</v>
      </c>
      <c r="F234" s="51">
        <f>F235</f>
        <v>-256971.8</v>
      </c>
      <c r="G234" s="61">
        <f t="shared" si="11"/>
        <v>643028.2</v>
      </c>
    </row>
    <row r="235" spans="1:7" s="5" customFormat="1" ht="15.75">
      <c r="A235" s="25" t="s">
        <v>400</v>
      </c>
      <c r="B235" s="1" t="s">
        <v>538</v>
      </c>
      <c r="C235" s="2" t="s">
        <v>23</v>
      </c>
      <c r="D235" s="2">
        <v>800</v>
      </c>
      <c r="E235" s="51">
        <f>E236</f>
        <v>900000</v>
      </c>
      <c r="F235" s="51">
        <f>F236</f>
        <v>-256971.8</v>
      </c>
      <c r="G235" s="61">
        <f t="shared" si="11"/>
        <v>643028.2</v>
      </c>
    </row>
    <row r="236" spans="1:7" s="4" customFormat="1" ht="63">
      <c r="A236" s="25" t="s">
        <v>357</v>
      </c>
      <c r="B236" s="1" t="s">
        <v>538</v>
      </c>
      <c r="C236" s="2" t="s">
        <v>23</v>
      </c>
      <c r="D236" s="2">
        <v>810</v>
      </c>
      <c r="E236" s="51">
        <v>900000</v>
      </c>
      <c r="F236" s="51">
        <v>-256971.8</v>
      </c>
      <c r="G236" s="61">
        <f t="shared" si="11"/>
        <v>643028.2</v>
      </c>
    </row>
    <row r="237" spans="1:7" s="5" customFormat="1" ht="31.5">
      <c r="A237" s="25" t="s">
        <v>382</v>
      </c>
      <c r="B237" s="1" t="s">
        <v>538</v>
      </c>
      <c r="C237" s="2" t="s">
        <v>24</v>
      </c>
      <c r="D237" s="2"/>
      <c r="E237" s="51">
        <f>E238</f>
        <v>7500980</v>
      </c>
      <c r="F237" s="51">
        <f>F238</f>
        <v>150000</v>
      </c>
      <c r="G237" s="61">
        <f t="shared" si="11"/>
        <v>7650980</v>
      </c>
    </row>
    <row r="238" spans="1:7" s="4" customFormat="1" ht="15.75">
      <c r="A238" s="25" t="s">
        <v>400</v>
      </c>
      <c r="B238" s="1" t="s">
        <v>538</v>
      </c>
      <c r="C238" s="2" t="s">
        <v>24</v>
      </c>
      <c r="D238" s="2">
        <v>800</v>
      </c>
      <c r="E238" s="51">
        <f>E239</f>
        <v>7500980</v>
      </c>
      <c r="F238" s="51">
        <f>F239</f>
        <v>150000</v>
      </c>
      <c r="G238" s="61">
        <f t="shared" si="11"/>
        <v>7650980</v>
      </c>
    </row>
    <row r="239" spans="1:7" s="4" customFormat="1" ht="63">
      <c r="A239" s="25" t="s">
        <v>357</v>
      </c>
      <c r="B239" s="1" t="s">
        <v>538</v>
      </c>
      <c r="C239" s="2" t="s">
        <v>24</v>
      </c>
      <c r="D239" s="2">
        <v>810</v>
      </c>
      <c r="E239" s="51">
        <v>7500980</v>
      </c>
      <c r="F239" s="51">
        <v>150000</v>
      </c>
      <c r="G239" s="61">
        <f t="shared" si="11"/>
        <v>7650980</v>
      </c>
    </row>
    <row r="240" spans="1:7" s="4" customFormat="1" ht="47.25">
      <c r="A240" s="25" t="s">
        <v>197</v>
      </c>
      <c r="B240" s="1" t="s">
        <v>538</v>
      </c>
      <c r="C240" s="2" t="s">
        <v>575</v>
      </c>
      <c r="D240" s="2"/>
      <c r="E240" s="51">
        <f>E241</f>
        <v>590000</v>
      </c>
      <c r="F240" s="51">
        <f>F241</f>
        <v>0</v>
      </c>
      <c r="G240" s="61">
        <f t="shared" si="11"/>
        <v>590000</v>
      </c>
    </row>
    <row r="241" spans="1:7" s="4" customFormat="1" ht="47.25">
      <c r="A241" s="25" t="s">
        <v>523</v>
      </c>
      <c r="B241" s="1" t="s">
        <v>538</v>
      </c>
      <c r="C241" s="2" t="s">
        <v>580</v>
      </c>
      <c r="D241" s="2"/>
      <c r="E241" s="51">
        <f>SUM(E242,E245)</f>
        <v>590000</v>
      </c>
      <c r="F241" s="51">
        <f>SUM(F242,F245)</f>
        <v>0</v>
      </c>
      <c r="G241" s="61">
        <f t="shared" si="11"/>
        <v>590000</v>
      </c>
    </row>
    <row r="242" spans="1:7" s="5" customFormat="1" ht="47.25">
      <c r="A242" s="23" t="s">
        <v>345</v>
      </c>
      <c r="B242" s="1" t="s">
        <v>538</v>
      </c>
      <c r="C242" s="2" t="s">
        <v>260</v>
      </c>
      <c r="D242" s="2"/>
      <c r="E242" s="51">
        <f>E243</f>
        <v>190000</v>
      </c>
      <c r="F242" s="51">
        <f>F243</f>
        <v>0</v>
      </c>
      <c r="G242" s="61">
        <f t="shared" si="11"/>
        <v>190000</v>
      </c>
    </row>
    <row r="243" spans="1:7" s="5" customFormat="1" ht="31.5">
      <c r="A243" s="23" t="s">
        <v>211</v>
      </c>
      <c r="B243" s="1" t="s">
        <v>538</v>
      </c>
      <c r="C243" s="2" t="s">
        <v>260</v>
      </c>
      <c r="D243" s="2">
        <v>200</v>
      </c>
      <c r="E243" s="51">
        <f>E244</f>
        <v>190000</v>
      </c>
      <c r="F243" s="51">
        <f>F244</f>
        <v>0</v>
      </c>
      <c r="G243" s="61">
        <f t="shared" si="11"/>
        <v>190000</v>
      </c>
    </row>
    <row r="244" spans="1:7" s="5" customFormat="1" ht="31.5">
      <c r="A244" s="23" t="s">
        <v>396</v>
      </c>
      <c r="B244" s="1" t="s">
        <v>538</v>
      </c>
      <c r="C244" s="2" t="s">
        <v>260</v>
      </c>
      <c r="D244" s="2">
        <v>240</v>
      </c>
      <c r="E244" s="51">
        <v>190000</v>
      </c>
      <c r="F244" s="51"/>
      <c r="G244" s="61">
        <f t="shared" si="11"/>
        <v>190000</v>
      </c>
    </row>
    <row r="245" spans="1:7" s="5" customFormat="1" ht="63">
      <c r="A245" s="23" t="s">
        <v>409</v>
      </c>
      <c r="B245" s="1" t="s">
        <v>538</v>
      </c>
      <c r="C245" s="2" t="s">
        <v>582</v>
      </c>
      <c r="D245" s="2"/>
      <c r="E245" s="51">
        <f>E246</f>
        <v>400000</v>
      </c>
      <c r="F245" s="51">
        <f>F246</f>
        <v>0</v>
      </c>
      <c r="G245" s="61">
        <f t="shared" si="11"/>
        <v>400000</v>
      </c>
    </row>
    <row r="246" spans="1:7" s="5" customFormat="1" ht="31.5">
      <c r="A246" s="23" t="s">
        <v>211</v>
      </c>
      <c r="B246" s="1" t="s">
        <v>538</v>
      </c>
      <c r="C246" s="2" t="s">
        <v>582</v>
      </c>
      <c r="D246" s="2">
        <v>200</v>
      </c>
      <c r="E246" s="51">
        <f>E247</f>
        <v>400000</v>
      </c>
      <c r="F246" s="51">
        <f>F247</f>
        <v>0</v>
      </c>
      <c r="G246" s="61">
        <f t="shared" si="11"/>
        <v>400000</v>
      </c>
    </row>
    <row r="247" spans="1:7" s="5" customFormat="1" ht="31.5">
      <c r="A247" s="23" t="s">
        <v>396</v>
      </c>
      <c r="B247" s="1" t="s">
        <v>538</v>
      </c>
      <c r="C247" s="2" t="s">
        <v>582</v>
      </c>
      <c r="D247" s="2">
        <v>240</v>
      </c>
      <c r="E247" s="51">
        <v>400000</v>
      </c>
      <c r="F247" s="51"/>
      <c r="G247" s="61">
        <f t="shared" si="11"/>
        <v>400000</v>
      </c>
    </row>
    <row r="248" spans="1:7" s="5" customFormat="1" ht="15.75">
      <c r="A248" s="27" t="s">
        <v>411</v>
      </c>
      <c r="B248" s="1" t="s">
        <v>538</v>
      </c>
      <c r="C248" s="2" t="s">
        <v>209</v>
      </c>
      <c r="D248" s="2"/>
      <c r="E248" s="51">
        <f aca="true" t="shared" si="12" ref="E248:F251">E249</f>
        <v>270</v>
      </c>
      <c r="F248" s="51">
        <f t="shared" si="12"/>
        <v>0</v>
      </c>
      <c r="G248" s="61">
        <f t="shared" si="11"/>
        <v>270</v>
      </c>
    </row>
    <row r="249" spans="1:7" s="5" customFormat="1" ht="47.25">
      <c r="A249" s="25" t="s">
        <v>483</v>
      </c>
      <c r="B249" s="1" t="s">
        <v>538</v>
      </c>
      <c r="C249" s="2" t="s">
        <v>25</v>
      </c>
      <c r="D249" s="2"/>
      <c r="E249" s="51">
        <f t="shared" si="12"/>
        <v>270</v>
      </c>
      <c r="F249" s="51">
        <f t="shared" si="12"/>
        <v>0</v>
      </c>
      <c r="G249" s="61">
        <f t="shared" si="11"/>
        <v>270</v>
      </c>
    </row>
    <row r="250" spans="1:7" s="5" customFormat="1" ht="63">
      <c r="A250" s="25" t="s">
        <v>484</v>
      </c>
      <c r="B250" s="1" t="s">
        <v>538</v>
      </c>
      <c r="C250" s="2" t="s">
        <v>363</v>
      </c>
      <c r="D250" s="2"/>
      <c r="E250" s="51">
        <f t="shared" si="12"/>
        <v>270</v>
      </c>
      <c r="F250" s="51">
        <f t="shared" si="12"/>
        <v>0</v>
      </c>
      <c r="G250" s="61">
        <f t="shared" si="11"/>
        <v>270</v>
      </c>
    </row>
    <row r="251" spans="1:7" s="5" customFormat="1" ht="31.5">
      <c r="A251" s="23" t="s">
        <v>211</v>
      </c>
      <c r="B251" s="1" t="s">
        <v>538</v>
      </c>
      <c r="C251" s="2" t="s">
        <v>363</v>
      </c>
      <c r="D251" s="2">
        <v>200</v>
      </c>
      <c r="E251" s="51">
        <f t="shared" si="12"/>
        <v>270</v>
      </c>
      <c r="F251" s="51">
        <f t="shared" si="12"/>
        <v>0</v>
      </c>
      <c r="G251" s="61">
        <f t="shared" si="11"/>
        <v>270</v>
      </c>
    </row>
    <row r="252" spans="1:7" s="5" customFormat="1" ht="31.5">
      <c r="A252" s="23" t="s">
        <v>396</v>
      </c>
      <c r="B252" s="1" t="s">
        <v>538</v>
      </c>
      <c r="C252" s="2" t="s">
        <v>363</v>
      </c>
      <c r="D252" s="2">
        <v>240</v>
      </c>
      <c r="E252" s="51">
        <v>270</v>
      </c>
      <c r="F252" s="51"/>
      <c r="G252" s="61">
        <f t="shared" si="11"/>
        <v>270</v>
      </c>
    </row>
    <row r="253" spans="1:7" s="5" customFormat="1" ht="15.75">
      <c r="A253" s="9" t="s">
        <v>539</v>
      </c>
      <c r="B253" s="8" t="s">
        <v>540</v>
      </c>
      <c r="C253" s="15"/>
      <c r="D253" s="15"/>
      <c r="E253" s="55">
        <f>SUM(E254,E279,E299,E351)</f>
        <v>331848811</v>
      </c>
      <c r="F253" s="55">
        <f>SUM(F254,F279,F299,F351)</f>
        <v>140233121</v>
      </c>
      <c r="G253" s="59">
        <f t="shared" si="11"/>
        <v>472081932</v>
      </c>
    </row>
    <row r="254" spans="1:7" s="5" customFormat="1" ht="15.75">
      <c r="A254" s="10" t="s">
        <v>541</v>
      </c>
      <c r="B254" s="12" t="s">
        <v>542</v>
      </c>
      <c r="C254" s="15"/>
      <c r="D254" s="15"/>
      <c r="E254" s="50">
        <f>SUM(E255,E268,E275)</f>
        <v>79822900</v>
      </c>
      <c r="F254" s="50">
        <f>SUM(F255,F268,F275)</f>
        <v>5975100</v>
      </c>
      <c r="G254" s="60">
        <f t="shared" si="11"/>
        <v>85798000</v>
      </c>
    </row>
    <row r="255" spans="1:7" s="5" customFormat="1" ht="47.25">
      <c r="A255" s="25" t="s">
        <v>201</v>
      </c>
      <c r="B255" s="1" t="s">
        <v>542</v>
      </c>
      <c r="C255" s="2" t="s">
        <v>26</v>
      </c>
      <c r="D255" s="2"/>
      <c r="E255" s="51">
        <f>SUM(E256,E259,E262,E265)</f>
        <v>72700000</v>
      </c>
      <c r="F255" s="51">
        <f>SUM(F256,F259,F262,F265)</f>
        <v>5975100</v>
      </c>
      <c r="G255" s="61">
        <f t="shared" si="11"/>
        <v>78675100</v>
      </c>
    </row>
    <row r="256" spans="1:7" s="5" customFormat="1" ht="15.75">
      <c r="A256" s="25" t="s">
        <v>191</v>
      </c>
      <c r="B256" s="1" t="s">
        <v>542</v>
      </c>
      <c r="C256" s="2" t="s">
        <v>27</v>
      </c>
      <c r="D256" s="2"/>
      <c r="E256" s="51">
        <f>E257</f>
        <v>300000</v>
      </c>
      <c r="F256" s="51">
        <f>F257</f>
        <v>0</v>
      </c>
      <c r="G256" s="61">
        <f t="shared" si="11"/>
        <v>300000</v>
      </c>
    </row>
    <row r="257" spans="1:7" s="5" customFormat="1" ht="15.75">
      <c r="A257" s="23" t="s">
        <v>400</v>
      </c>
      <c r="B257" s="1" t="s">
        <v>542</v>
      </c>
      <c r="C257" s="2" t="s">
        <v>27</v>
      </c>
      <c r="D257" s="2">
        <v>800</v>
      </c>
      <c r="E257" s="51">
        <f>E258</f>
        <v>300000</v>
      </c>
      <c r="F257" s="51">
        <f>F258</f>
        <v>0</v>
      </c>
      <c r="G257" s="61">
        <f t="shared" si="11"/>
        <v>300000</v>
      </c>
    </row>
    <row r="258" spans="1:7" s="5" customFormat="1" ht="63">
      <c r="A258" s="25" t="s">
        <v>357</v>
      </c>
      <c r="B258" s="1" t="s">
        <v>542</v>
      </c>
      <c r="C258" s="2" t="s">
        <v>27</v>
      </c>
      <c r="D258" s="2">
        <v>810</v>
      </c>
      <c r="E258" s="51">
        <v>300000</v>
      </c>
      <c r="F258" s="51"/>
      <c r="G258" s="61">
        <f t="shared" si="11"/>
        <v>300000</v>
      </c>
    </row>
    <row r="259" spans="1:7" s="5" customFormat="1" ht="31.5">
      <c r="A259" s="25" t="s">
        <v>427</v>
      </c>
      <c r="B259" s="1" t="s">
        <v>542</v>
      </c>
      <c r="C259" s="2" t="s">
        <v>28</v>
      </c>
      <c r="D259" s="2"/>
      <c r="E259" s="51">
        <f>E260</f>
        <v>10200000</v>
      </c>
      <c r="F259" s="51">
        <f>F260</f>
        <v>0</v>
      </c>
      <c r="G259" s="61">
        <f t="shared" si="11"/>
        <v>10200000</v>
      </c>
    </row>
    <row r="260" spans="1:7" s="5" customFormat="1" ht="15.75">
      <c r="A260" s="23" t="s">
        <v>400</v>
      </c>
      <c r="B260" s="1" t="s">
        <v>542</v>
      </c>
      <c r="C260" s="2" t="s">
        <v>28</v>
      </c>
      <c r="D260" s="2">
        <v>800</v>
      </c>
      <c r="E260" s="51">
        <f>E261</f>
        <v>10200000</v>
      </c>
      <c r="F260" s="51">
        <f>F261</f>
        <v>0</v>
      </c>
      <c r="G260" s="61">
        <f t="shared" si="11"/>
        <v>10200000</v>
      </c>
    </row>
    <row r="261" spans="1:7" s="5" customFormat="1" ht="15.75">
      <c r="A261" s="25" t="s">
        <v>420</v>
      </c>
      <c r="B261" s="1" t="s">
        <v>542</v>
      </c>
      <c r="C261" s="2" t="s">
        <v>28</v>
      </c>
      <c r="D261" s="2">
        <v>880</v>
      </c>
      <c r="E261" s="51">
        <v>10200000</v>
      </c>
      <c r="F261" s="51"/>
      <c r="G261" s="61">
        <f t="shared" si="11"/>
        <v>10200000</v>
      </c>
    </row>
    <row r="262" spans="1:7" s="5" customFormat="1" ht="31.5">
      <c r="A262" s="25" t="s">
        <v>428</v>
      </c>
      <c r="B262" s="1" t="s">
        <v>542</v>
      </c>
      <c r="C262" s="2" t="s">
        <v>29</v>
      </c>
      <c r="D262" s="2"/>
      <c r="E262" s="51">
        <f>E263</f>
        <v>54000000</v>
      </c>
      <c r="F262" s="51">
        <f>F263</f>
        <v>5975100</v>
      </c>
      <c r="G262" s="61">
        <f t="shared" si="11"/>
        <v>59975100</v>
      </c>
    </row>
    <row r="263" spans="1:7" s="5" customFormat="1" ht="15.75">
      <c r="A263" s="25" t="s">
        <v>400</v>
      </c>
      <c r="B263" s="1" t="s">
        <v>542</v>
      </c>
      <c r="C263" s="2" t="s">
        <v>29</v>
      </c>
      <c r="D263" s="2">
        <v>800</v>
      </c>
      <c r="E263" s="51">
        <f>E264</f>
        <v>54000000</v>
      </c>
      <c r="F263" s="51">
        <f>F264</f>
        <v>5975100</v>
      </c>
      <c r="G263" s="61">
        <f t="shared" si="11"/>
        <v>59975100</v>
      </c>
    </row>
    <row r="264" spans="1:7" s="5" customFormat="1" ht="63">
      <c r="A264" s="25" t="s">
        <v>357</v>
      </c>
      <c r="B264" s="1" t="s">
        <v>542</v>
      </c>
      <c r="C264" s="2" t="s">
        <v>29</v>
      </c>
      <c r="D264" s="2">
        <v>810</v>
      </c>
      <c r="E264" s="51">
        <v>54000000</v>
      </c>
      <c r="F264" s="51">
        <v>5975100</v>
      </c>
      <c r="G264" s="61">
        <f t="shared" si="11"/>
        <v>59975100</v>
      </c>
    </row>
    <row r="265" spans="1:7" s="5" customFormat="1" ht="31.5">
      <c r="A265" s="25" t="s">
        <v>177</v>
      </c>
      <c r="B265" s="1" t="s">
        <v>542</v>
      </c>
      <c r="C265" s="2" t="s">
        <v>30</v>
      </c>
      <c r="D265" s="2"/>
      <c r="E265" s="51">
        <f>E266</f>
        <v>8200000</v>
      </c>
      <c r="F265" s="51">
        <f>F266</f>
        <v>0</v>
      </c>
      <c r="G265" s="61">
        <f t="shared" si="11"/>
        <v>8200000</v>
      </c>
    </row>
    <row r="266" spans="1:7" s="5" customFormat="1" ht="15.75">
      <c r="A266" s="25" t="s">
        <v>400</v>
      </c>
      <c r="B266" s="1" t="s">
        <v>542</v>
      </c>
      <c r="C266" s="2" t="s">
        <v>30</v>
      </c>
      <c r="D266" s="2">
        <v>800</v>
      </c>
      <c r="E266" s="51">
        <f>E267</f>
        <v>8200000</v>
      </c>
      <c r="F266" s="51">
        <f>F267</f>
        <v>0</v>
      </c>
      <c r="G266" s="61">
        <f t="shared" si="11"/>
        <v>8200000</v>
      </c>
    </row>
    <row r="267" spans="1:7" s="5" customFormat="1" ht="63">
      <c r="A267" s="25" t="s">
        <v>357</v>
      </c>
      <c r="B267" s="1" t="s">
        <v>542</v>
      </c>
      <c r="C267" s="2" t="s">
        <v>30</v>
      </c>
      <c r="D267" s="2">
        <v>810</v>
      </c>
      <c r="E267" s="51">
        <v>8200000</v>
      </c>
      <c r="F267" s="51"/>
      <c r="G267" s="61">
        <f t="shared" si="11"/>
        <v>8200000</v>
      </c>
    </row>
    <row r="268" spans="1:7" s="5" customFormat="1" ht="47.25">
      <c r="A268" s="25" t="s">
        <v>202</v>
      </c>
      <c r="B268" s="1" t="s">
        <v>542</v>
      </c>
      <c r="C268" s="2" t="s">
        <v>31</v>
      </c>
      <c r="D268" s="2"/>
      <c r="E268" s="51">
        <f>E269+E272</f>
        <v>4122900</v>
      </c>
      <c r="F268" s="51">
        <f>F269+F272</f>
        <v>0</v>
      </c>
      <c r="G268" s="61">
        <f t="shared" si="11"/>
        <v>4122900</v>
      </c>
    </row>
    <row r="269" spans="1:7" s="5" customFormat="1" ht="47.25">
      <c r="A269" s="25" t="s">
        <v>372</v>
      </c>
      <c r="B269" s="1" t="s">
        <v>542</v>
      </c>
      <c r="C269" s="2" t="s">
        <v>32</v>
      </c>
      <c r="D269" s="2"/>
      <c r="E269" s="51">
        <f>E270</f>
        <v>3522900</v>
      </c>
      <c r="F269" s="51">
        <f>F270</f>
        <v>0</v>
      </c>
      <c r="G269" s="61">
        <f t="shared" si="11"/>
        <v>3522900</v>
      </c>
    </row>
    <row r="270" spans="1:7" s="5" customFormat="1" ht="15.75">
      <c r="A270" s="23" t="s">
        <v>400</v>
      </c>
      <c r="B270" s="1" t="s">
        <v>542</v>
      </c>
      <c r="C270" s="2" t="s">
        <v>32</v>
      </c>
      <c r="D270" s="2">
        <v>800</v>
      </c>
      <c r="E270" s="51">
        <f>E271</f>
        <v>3522900</v>
      </c>
      <c r="F270" s="51">
        <f>F271</f>
        <v>0</v>
      </c>
      <c r="G270" s="61">
        <f t="shared" si="11"/>
        <v>3522900</v>
      </c>
    </row>
    <row r="271" spans="1:7" s="5" customFormat="1" ht="63">
      <c r="A271" s="25" t="s">
        <v>357</v>
      </c>
      <c r="B271" s="1" t="s">
        <v>542</v>
      </c>
      <c r="C271" s="2" t="s">
        <v>32</v>
      </c>
      <c r="D271" s="2">
        <v>810</v>
      </c>
      <c r="E271" s="54">
        <v>3522900</v>
      </c>
      <c r="F271" s="54"/>
      <c r="G271" s="61">
        <f t="shared" si="11"/>
        <v>3522900</v>
      </c>
    </row>
    <row r="272" spans="1:7" s="5" customFormat="1" ht="31.5">
      <c r="A272" s="25" t="s">
        <v>303</v>
      </c>
      <c r="B272" s="1" t="s">
        <v>542</v>
      </c>
      <c r="C272" s="2" t="s">
        <v>302</v>
      </c>
      <c r="D272" s="2"/>
      <c r="E272" s="54">
        <f>E273</f>
        <v>600000</v>
      </c>
      <c r="F272" s="54">
        <f>F273</f>
        <v>0</v>
      </c>
      <c r="G272" s="61">
        <f>SUM(E272:F272)</f>
        <v>600000</v>
      </c>
    </row>
    <row r="273" spans="1:7" s="5" customFormat="1" ht="15.75">
      <c r="A273" s="23" t="s">
        <v>400</v>
      </c>
      <c r="B273" s="1" t="s">
        <v>542</v>
      </c>
      <c r="C273" s="2" t="s">
        <v>302</v>
      </c>
      <c r="D273" s="2">
        <v>800</v>
      </c>
      <c r="E273" s="54">
        <f>E274</f>
        <v>600000</v>
      </c>
      <c r="F273" s="54">
        <f>F274</f>
        <v>0</v>
      </c>
      <c r="G273" s="61">
        <f>SUM(E273:F273)</f>
        <v>600000</v>
      </c>
    </row>
    <row r="274" spans="1:7" s="5" customFormat="1" ht="63">
      <c r="A274" s="25" t="s">
        <v>357</v>
      </c>
      <c r="B274" s="1" t="s">
        <v>542</v>
      </c>
      <c r="C274" s="2" t="s">
        <v>302</v>
      </c>
      <c r="D274" s="2">
        <v>810</v>
      </c>
      <c r="E274" s="54">
        <v>600000</v>
      </c>
      <c r="F274" s="54"/>
      <c r="G274" s="61">
        <f>SUM(E274:F274)</f>
        <v>600000</v>
      </c>
    </row>
    <row r="275" spans="1:7" s="5" customFormat="1" ht="47.25">
      <c r="A275" s="23" t="s">
        <v>151</v>
      </c>
      <c r="B275" s="1" t="s">
        <v>542</v>
      </c>
      <c r="C275" s="2" t="s">
        <v>33</v>
      </c>
      <c r="D275" s="2"/>
      <c r="E275" s="51">
        <f aca="true" t="shared" si="13" ref="E275:F277">E276</f>
        <v>3000000</v>
      </c>
      <c r="F275" s="51">
        <f t="shared" si="13"/>
        <v>0</v>
      </c>
      <c r="G275" s="61">
        <f t="shared" si="11"/>
        <v>3000000</v>
      </c>
    </row>
    <row r="276" spans="1:7" s="5" customFormat="1" ht="31.5">
      <c r="A276" s="23" t="s">
        <v>153</v>
      </c>
      <c r="B276" s="1" t="s">
        <v>542</v>
      </c>
      <c r="C276" s="2" t="s">
        <v>34</v>
      </c>
      <c r="D276" s="2"/>
      <c r="E276" s="51">
        <f t="shared" si="13"/>
        <v>3000000</v>
      </c>
      <c r="F276" s="51">
        <f t="shared" si="13"/>
        <v>0</v>
      </c>
      <c r="G276" s="61">
        <f t="shared" si="11"/>
        <v>3000000</v>
      </c>
    </row>
    <row r="277" spans="1:7" s="5" customFormat="1" ht="31.5">
      <c r="A277" s="25" t="s">
        <v>390</v>
      </c>
      <c r="B277" s="1" t="s">
        <v>542</v>
      </c>
      <c r="C277" s="2" t="s">
        <v>34</v>
      </c>
      <c r="D277" s="2">
        <v>400</v>
      </c>
      <c r="E277" s="51">
        <f t="shared" si="13"/>
        <v>3000000</v>
      </c>
      <c r="F277" s="51">
        <f t="shared" si="13"/>
        <v>0</v>
      </c>
      <c r="G277" s="61">
        <f t="shared" si="11"/>
        <v>3000000</v>
      </c>
    </row>
    <row r="278" spans="1:7" s="5" customFormat="1" ht="15.75">
      <c r="A278" s="25" t="s">
        <v>391</v>
      </c>
      <c r="B278" s="1" t="s">
        <v>542</v>
      </c>
      <c r="C278" s="2" t="s">
        <v>34</v>
      </c>
      <c r="D278" s="2">
        <v>410</v>
      </c>
      <c r="E278" s="51">
        <v>3000000</v>
      </c>
      <c r="F278" s="51"/>
      <c r="G278" s="61">
        <f t="shared" si="11"/>
        <v>3000000</v>
      </c>
    </row>
    <row r="279" spans="1:7" s="5" customFormat="1" ht="15.75">
      <c r="A279" s="10" t="s">
        <v>551</v>
      </c>
      <c r="B279" s="12" t="s">
        <v>552</v>
      </c>
      <c r="C279" s="15"/>
      <c r="D279" s="15"/>
      <c r="E279" s="50">
        <f>SUM(E291,E280,E287)</f>
        <v>110665120</v>
      </c>
      <c r="F279" s="50">
        <f>SUM(F291,F280,F287)</f>
        <v>-2000000</v>
      </c>
      <c r="G279" s="60">
        <f t="shared" si="11"/>
        <v>108665120</v>
      </c>
    </row>
    <row r="280" spans="1:7" s="5" customFormat="1" ht="47.25">
      <c r="A280" s="25" t="s">
        <v>202</v>
      </c>
      <c r="B280" s="1" t="s">
        <v>552</v>
      </c>
      <c r="C280" s="2" t="s">
        <v>31</v>
      </c>
      <c r="D280" s="2"/>
      <c r="E280" s="51">
        <f>SUM(E281,E284)</f>
        <v>4000000</v>
      </c>
      <c r="F280" s="51">
        <f>SUM(F281,F284)</f>
        <v>-2000000</v>
      </c>
      <c r="G280" s="61">
        <f t="shared" si="11"/>
        <v>2000000</v>
      </c>
    </row>
    <row r="281" spans="1:7" s="5" customFormat="1" ht="15.75">
      <c r="A281" s="25" t="s">
        <v>430</v>
      </c>
      <c r="B281" s="1" t="s">
        <v>552</v>
      </c>
      <c r="C281" s="2" t="s">
        <v>35</v>
      </c>
      <c r="D281" s="2"/>
      <c r="E281" s="51">
        <f>E282</f>
        <v>2000000</v>
      </c>
      <c r="F281" s="51">
        <f>F282</f>
        <v>0</v>
      </c>
      <c r="G281" s="61">
        <f t="shared" si="11"/>
        <v>2000000</v>
      </c>
    </row>
    <row r="282" spans="1:7" s="5" customFormat="1" ht="15.75">
      <c r="A282" s="23" t="s">
        <v>400</v>
      </c>
      <c r="B282" s="1" t="s">
        <v>552</v>
      </c>
      <c r="C282" s="2" t="s">
        <v>35</v>
      </c>
      <c r="D282" s="2">
        <v>800</v>
      </c>
      <c r="E282" s="51">
        <f>E283</f>
        <v>2000000</v>
      </c>
      <c r="F282" s="51">
        <f>F283</f>
        <v>0</v>
      </c>
      <c r="G282" s="61">
        <f t="shared" si="11"/>
        <v>2000000</v>
      </c>
    </row>
    <row r="283" spans="1:7" s="5" customFormat="1" ht="63">
      <c r="A283" s="25" t="s">
        <v>357</v>
      </c>
      <c r="B283" s="1" t="s">
        <v>552</v>
      </c>
      <c r="C283" s="2" t="s">
        <v>35</v>
      </c>
      <c r="D283" s="2">
        <v>810</v>
      </c>
      <c r="E283" s="51">
        <v>2000000</v>
      </c>
      <c r="F283" s="51"/>
      <c r="G283" s="61">
        <f t="shared" si="11"/>
        <v>2000000</v>
      </c>
    </row>
    <row r="284" spans="1:7" s="5" customFormat="1" ht="31.5">
      <c r="A284" s="25" t="s">
        <v>431</v>
      </c>
      <c r="B284" s="1" t="s">
        <v>552</v>
      </c>
      <c r="C284" s="2" t="s">
        <v>36</v>
      </c>
      <c r="D284" s="2"/>
      <c r="E284" s="51">
        <f>E285</f>
        <v>2000000</v>
      </c>
      <c r="F284" s="51">
        <f>F285</f>
        <v>-2000000</v>
      </c>
      <c r="G284" s="61">
        <f t="shared" si="11"/>
        <v>0</v>
      </c>
    </row>
    <row r="285" spans="1:7" s="4" customFormat="1" ht="31.5">
      <c r="A285" s="25" t="s">
        <v>390</v>
      </c>
      <c r="B285" s="1" t="s">
        <v>552</v>
      </c>
      <c r="C285" s="2" t="s">
        <v>36</v>
      </c>
      <c r="D285" s="2">
        <v>400</v>
      </c>
      <c r="E285" s="51">
        <f>E286</f>
        <v>2000000</v>
      </c>
      <c r="F285" s="51">
        <f>F286</f>
        <v>-2000000</v>
      </c>
      <c r="G285" s="61">
        <f t="shared" si="11"/>
        <v>0</v>
      </c>
    </row>
    <row r="286" spans="1:7" s="4" customFormat="1" ht="110.25">
      <c r="A286" s="25" t="s">
        <v>157</v>
      </c>
      <c r="B286" s="1" t="s">
        <v>552</v>
      </c>
      <c r="C286" s="2" t="s">
        <v>36</v>
      </c>
      <c r="D286" s="2">
        <v>460</v>
      </c>
      <c r="E286" s="51">
        <v>2000000</v>
      </c>
      <c r="F286" s="51">
        <v>-2000000</v>
      </c>
      <c r="G286" s="61">
        <f t="shared" si="11"/>
        <v>0</v>
      </c>
    </row>
    <row r="287" spans="1:7" s="4" customFormat="1" ht="42" customHeight="1">
      <c r="A287" s="25" t="s">
        <v>269</v>
      </c>
      <c r="B287" s="1" t="s">
        <v>552</v>
      </c>
      <c r="C287" s="2" t="s">
        <v>271</v>
      </c>
      <c r="D287" s="1"/>
      <c r="E287" s="51">
        <f aca="true" t="shared" si="14" ref="E287:F289">E288</f>
        <v>9470000</v>
      </c>
      <c r="F287" s="51">
        <f t="shared" si="14"/>
        <v>0</v>
      </c>
      <c r="G287" s="61">
        <f>SUM(E287:F287)</f>
        <v>9470000</v>
      </c>
    </row>
    <row r="288" spans="1:7" s="4" customFormat="1" ht="78.75">
      <c r="A288" s="25" t="s">
        <v>270</v>
      </c>
      <c r="B288" s="1" t="s">
        <v>552</v>
      </c>
      <c r="C288" s="2" t="s">
        <v>272</v>
      </c>
      <c r="D288" s="1"/>
      <c r="E288" s="51">
        <f t="shared" si="14"/>
        <v>9470000</v>
      </c>
      <c r="F288" s="51">
        <f t="shared" si="14"/>
        <v>0</v>
      </c>
      <c r="G288" s="61">
        <f>SUM(E288:F288)</f>
        <v>9470000</v>
      </c>
    </row>
    <row r="289" spans="1:7" s="4" customFormat="1" ht="15.75">
      <c r="A289" s="23" t="s">
        <v>400</v>
      </c>
      <c r="B289" s="1" t="s">
        <v>552</v>
      </c>
      <c r="C289" s="2" t="s">
        <v>272</v>
      </c>
      <c r="D289" s="1" t="s">
        <v>406</v>
      </c>
      <c r="E289" s="51">
        <f t="shared" si="14"/>
        <v>9470000</v>
      </c>
      <c r="F289" s="51">
        <f t="shared" si="14"/>
        <v>0</v>
      </c>
      <c r="G289" s="61">
        <f>SUM(E289:F289)</f>
        <v>9470000</v>
      </c>
    </row>
    <row r="290" spans="1:7" s="4" customFormat="1" ht="63">
      <c r="A290" s="25" t="s">
        <v>357</v>
      </c>
      <c r="B290" s="1" t="s">
        <v>552</v>
      </c>
      <c r="C290" s="2" t="s">
        <v>272</v>
      </c>
      <c r="D290" s="1" t="s">
        <v>155</v>
      </c>
      <c r="E290" s="51">
        <v>9470000</v>
      </c>
      <c r="F290" s="51"/>
      <c r="G290" s="61">
        <f>SUM(E290:F290)</f>
        <v>9470000</v>
      </c>
    </row>
    <row r="291" spans="1:7" s="4" customFormat="1" ht="15.75">
      <c r="A291" s="27" t="s">
        <v>411</v>
      </c>
      <c r="B291" s="1" t="s">
        <v>552</v>
      </c>
      <c r="C291" s="2" t="s">
        <v>209</v>
      </c>
      <c r="D291" s="15"/>
      <c r="E291" s="51">
        <f>E292</f>
        <v>97195120</v>
      </c>
      <c r="F291" s="51">
        <f>F292</f>
        <v>0</v>
      </c>
      <c r="G291" s="61">
        <f t="shared" si="11"/>
        <v>97195120</v>
      </c>
    </row>
    <row r="292" spans="1:7" s="4" customFormat="1" ht="47.25">
      <c r="A292" s="25" t="s">
        <v>604</v>
      </c>
      <c r="B292" s="1" t="s">
        <v>552</v>
      </c>
      <c r="C292" s="2" t="s">
        <v>583</v>
      </c>
      <c r="D292" s="2"/>
      <c r="E292" s="51">
        <f>SUM(E293,E296)</f>
        <v>97195120</v>
      </c>
      <c r="F292" s="51">
        <f>SUM(F293,F296)</f>
        <v>0</v>
      </c>
      <c r="G292" s="61">
        <f t="shared" si="11"/>
        <v>97195120</v>
      </c>
    </row>
    <row r="293" spans="1:7" s="4" customFormat="1" ht="78.75">
      <c r="A293" s="25" t="s">
        <v>205</v>
      </c>
      <c r="B293" s="1" t="s">
        <v>552</v>
      </c>
      <c r="C293" s="2" t="s">
        <v>597</v>
      </c>
      <c r="D293" s="2"/>
      <c r="E293" s="51">
        <f>E294</f>
        <v>67195120</v>
      </c>
      <c r="F293" s="51">
        <f>F294</f>
        <v>0</v>
      </c>
      <c r="G293" s="61">
        <f t="shared" si="11"/>
        <v>67195120</v>
      </c>
    </row>
    <row r="294" spans="1:7" s="4" customFormat="1" ht="15.75">
      <c r="A294" s="23" t="s">
        <v>400</v>
      </c>
      <c r="B294" s="1" t="s">
        <v>552</v>
      </c>
      <c r="C294" s="2" t="s">
        <v>597</v>
      </c>
      <c r="D294" s="2">
        <v>800</v>
      </c>
      <c r="E294" s="51">
        <f>E295</f>
        <v>67195120</v>
      </c>
      <c r="F294" s="51">
        <f>F295</f>
        <v>0</v>
      </c>
      <c r="G294" s="61">
        <f t="shared" si="11"/>
        <v>67195120</v>
      </c>
    </row>
    <row r="295" spans="1:7" s="4" customFormat="1" ht="63">
      <c r="A295" s="25" t="s">
        <v>426</v>
      </c>
      <c r="B295" s="1" t="s">
        <v>552</v>
      </c>
      <c r="C295" s="2" t="s">
        <v>597</v>
      </c>
      <c r="D295" s="2">
        <v>840</v>
      </c>
      <c r="E295" s="54">
        <v>67195120</v>
      </c>
      <c r="F295" s="54"/>
      <c r="G295" s="61">
        <f t="shared" si="11"/>
        <v>67195120</v>
      </c>
    </row>
    <row r="296" spans="1:7" s="5" customFormat="1" ht="63">
      <c r="A296" s="25" t="s">
        <v>547</v>
      </c>
      <c r="B296" s="1" t="s">
        <v>552</v>
      </c>
      <c r="C296" s="2" t="s">
        <v>133</v>
      </c>
      <c r="D296" s="2"/>
      <c r="E296" s="54">
        <f>E297</f>
        <v>30000000</v>
      </c>
      <c r="F296" s="54">
        <f>F297</f>
        <v>0</v>
      </c>
      <c r="G296" s="61">
        <f t="shared" si="11"/>
        <v>30000000</v>
      </c>
    </row>
    <row r="297" spans="1:7" s="5" customFormat="1" ht="15.75">
      <c r="A297" s="25" t="s">
        <v>400</v>
      </c>
      <c r="B297" s="1" t="s">
        <v>552</v>
      </c>
      <c r="C297" s="2" t="s">
        <v>133</v>
      </c>
      <c r="D297" s="2">
        <v>800</v>
      </c>
      <c r="E297" s="54">
        <f>E298</f>
        <v>30000000</v>
      </c>
      <c r="F297" s="54">
        <f>F298</f>
        <v>0</v>
      </c>
      <c r="G297" s="61">
        <f t="shared" si="11"/>
        <v>30000000</v>
      </c>
    </row>
    <row r="298" spans="1:7" s="5" customFormat="1" ht="63">
      <c r="A298" s="25" t="s">
        <v>357</v>
      </c>
      <c r="B298" s="1" t="s">
        <v>552</v>
      </c>
      <c r="C298" s="2" t="s">
        <v>133</v>
      </c>
      <c r="D298" s="2">
        <v>810</v>
      </c>
      <c r="E298" s="54">
        <v>30000000</v>
      </c>
      <c r="F298" s="68">
        <f>-1025064.56-497678-3630688.95+5153431.51</f>
        <v>0</v>
      </c>
      <c r="G298" s="61">
        <f t="shared" si="11"/>
        <v>30000000</v>
      </c>
    </row>
    <row r="299" spans="1:7" s="4" customFormat="1" ht="15.75">
      <c r="A299" s="10" t="s">
        <v>553</v>
      </c>
      <c r="B299" s="12" t="s">
        <v>554</v>
      </c>
      <c r="C299" s="15"/>
      <c r="D299" s="15"/>
      <c r="E299" s="50">
        <f>E300+E346</f>
        <v>141360791</v>
      </c>
      <c r="F299" s="50">
        <f>F300+F346</f>
        <v>75273000</v>
      </c>
      <c r="G299" s="60">
        <f t="shared" si="11"/>
        <v>216633791</v>
      </c>
    </row>
    <row r="300" spans="1:7" s="5" customFormat="1" ht="31.5">
      <c r="A300" s="25" t="s">
        <v>186</v>
      </c>
      <c r="B300" s="1" t="s">
        <v>554</v>
      </c>
      <c r="C300" s="2" t="s">
        <v>569</v>
      </c>
      <c r="D300" s="2"/>
      <c r="E300" s="51">
        <f>SUM(E301,E311,E315,E322,E329,E333)</f>
        <v>141035000</v>
      </c>
      <c r="F300" s="51">
        <f>SUM(F301,F311,F315,F322,F329,F333)</f>
        <v>75598791</v>
      </c>
      <c r="G300" s="61">
        <f t="shared" si="11"/>
        <v>216633791</v>
      </c>
    </row>
    <row r="301" spans="1:7" s="5" customFormat="1" ht="31.5">
      <c r="A301" s="25" t="s">
        <v>527</v>
      </c>
      <c r="B301" s="1" t="s">
        <v>554</v>
      </c>
      <c r="C301" s="2" t="s">
        <v>37</v>
      </c>
      <c r="D301" s="2"/>
      <c r="E301" s="51">
        <f>SUM(E302,E305,E308)</f>
        <v>71000000</v>
      </c>
      <c r="F301" s="51">
        <f>SUM(F302,F305,F308)</f>
        <v>10315000</v>
      </c>
      <c r="G301" s="61">
        <f t="shared" si="11"/>
        <v>81315000</v>
      </c>
    </row>
    <row r="302" spans="1:7" s="4" customFormat="1" ht="31.5">
      <c r="A302" s="25" t="s">
        <v>432</v>
      </c>
      <c r="B302" s="1" t="s">
        <v>554</v>
      </c>
      <c r="C302" s="2" t="s">
        <v>38</v>
      </c>
      <c r="D302" s="2"/>
      <c r="E302" s="51">
        <f>E303</f>
        <v>35000000</v>
      </c>
      <c r="F302" s="51">
        <f>F303</f>
        <v>8750000</v>
      </c>
      <c r="G302" s="61">
        <f t="shared" si="11"/>
        <v>43750000</v>
      </c>
    </row>
    <row r="303" spans="1:7" s="5" customFormat="1" ht="15.75">
      <c r="A303" s="23" t="s">
        <v>400</v>
      </c>
      <c r="B303" s="1" t="s">
        <v>554</v>
      </c>
      <c r="C303" s="2" t="s">
        <v>38</v>
      </c>
      <c r="D303" s="2">
        <v>800</v>
      </c>
      <c r="E303" s="51">
        <f>E304</f>
        <v>35000000</v>
      </c>
      <c r="F303" s="51">
        <f>F304</f>
        <v>8750000</v>
      </c>
      <c r="G303" s="61">
        <f aca="true" t="shared" si="15" ref="G303:G398">SUM(E303:F303)</f>
        <v>43750000</v>
      </c>
    </row>
    <row r="304" spans="1:7" s="4" customFormat="1" ht="63">
      <c r="A304" s="25" t="s">
        <v>357</v>
      </c>
      <c r="B304" s="1" t="s">
        <v>554</v>
      </c>
      <c r="C304" s="2" t="s">
        <v>38</v>
      </c>
      <c r="D304" s="2">
        <v>810</v>
      </c>
      <c r="E304" s="51">
        <v>35000000</v>
      </c>
      <c r="F304" s="51">
        <f>8750000</f>
        <v>8750000</v>
      </c>
      <c r="G304" s="61">
        <f t="shared" si="15"/>
        <v>43750000</v>
      </c>
    </row>
    <row r="305" spans="1:7" s="5" customFormat="1" ht="47.25">
      <c r="A305" s="25" t="s">
        <v>433</v>
      </c>
      <c r="B305" s="1" t="s">
        <v>554</v>
      </c>
      <c r="C305" s="2" t="s">
        <v>39</v>
      </c>
      <c r="D305" s="2"/>
      <c r="E305" s="51">
        <f>E306</f>
        <v>28000000</v>
      </c>
      <c r="F305" s="51">
        <f>F306</f>
        <v>1300000</v>
      </c>
      <c r="G305" s="61">
        <f t="shared" si="15"/>
        <v>29300000</v>
      </c>
    </row>
    <row r="306" spans="1:7" s="5" customFormat="1" ht="15.75">
      <c r="A306" s="23" t="s">
        <v>400</v>
      </c>
      <c r="B306" s="1" t="s">
        <v>554</v>
      </c>
      <c r="C306" s="2" t="s">
        <v>39</v>
      </c>
      <c r="D306" s="2">
        <v>800</v>
      </c>
      <c r="E306" s="51">
        <f>E307</f>
        <v>28000000</v>
      </c>
      <c r="F306" s="51">
        <f>F307</f>
        <v>1300000</v>
      </c>
      <c r="G306" s="61">
        <f t="shared" si="15"/>
        <v>29300000</v>
      </c>
    </row>
    <row r="307" spans="1:7" s="5" customFormat="1" ht="63">
      <c r="A307" s="25" t="s">
        <v>357</v>
      </c>
      <c r="B307" s="1" t="s">
        <v>554</v>
      </c>
      <c r="C307" s="2" t="s">
        <v>39</v>
      </c>
      <c r="D307" s="2">
        <v>810</v>
      </c>
      <c r="E307" s="51">
        <v>28000000</v>
      </c>
      <c r="F307" s="51">
        <v>1300000</v>
      </c>
      <c r="G307" s="61">
        <f t="shared" si="15"/>
        <v>29300000</v>
      </c>
    </row>
    <row r="308" spans="1:7" s="30" customFormat="1" ht="31.5">
      <c r="A308" s="26" t="s">
        <v>181</v>
      </c>
      <c r="B308" s="1" t="s">
        <v>554</v>
      </c>
      <c r="C308" s="2" t="s">
        <v>180</v>
      </c>
      <c r="D308" s="2"/>
      <c r="E308" s="51">
        <f>E309</f>
        <v>8000000</v>
      </c>
      <c r="F308" s="51">
        <f>F309</f>
        <v>265000</v>
      </c>
      <c r="G308" s="61">
        <f t="shared" si="15"/>
        <v>8265000</v>
      </c>
    </row>
    <row r="309" spans="1:7" s="5" customFormat="1" ht="15.75">
      <c r="A309" s="23" t="s">
        <v>400</v>
      </c>
      <c r="B309" s="1" t="s">
        <v>554</v>
      </c>
      <c r="C309" s="2" t="s">
        <v>180</v>
      </c>
      <c r="D309" s="2">
        <v>800</v>
      </c>
      <c r="E309" s="51">
        <f>E310</f>
        <v>8000000</v>
      </c>
      <c r="F309" s="51">
        <f>F310</f>
        <v>265000</v>
      </c>
      <c r="G309" s="61">
        <f t="shared" si="15"/>
        <v>8265000</v>
      </c>
    </row>
    <row r="310" spans="1:7" s="5" customFormat="1" ht="63">
      <c r="A310" s="25" t="s">
        <v>357</v>
      </c>
      <c r="B310" s="1" t="s">
        <v>554</v>
      </c>
      <c r="C310" s="2" t="s">
        <v>180</v>
      </c>
      <c r="D310" s="2">
        <v>810</v>
      </c>
      <c r="E310" s="51">
        <v>8000000</v>
      </c>
      <c r="F310" s="51">
        <f>-1415000+1680000</f>
        <v>265000</v>
      </c>
      <c r="G310" s="61">
        <f t="shared" si="15"/>
        <v>8265000</v>
      </c>
    </row>
    <row r="311" spans="1:7" s="5" customFormat="1" ht="31.5">
      <c r="A311" s="26" t="s">
        <v>528</v>
      </c>
      <c r="B311" s="1" t="s">
        <v>554</v>
      </c>
      <c r="C311" s="2" t="s">
        <v>40</v>
      </c>
      <c r="D311" s="2"/>
      <c r="E311" s="51">
        <f aca="true" t="shared" si="16" ref="E311:F313">E312</f>
        <v>8500000</v>
      </c>
      <c r="F311" s="51">
        <f t="shared" si="16"/>
        <v>716730</v>
      </c>
      <c r="G311" s="61">
        <f t="shared" si="15"/>
        <v>9216730</v>
      </c>
    </row>
    <row r="312" spans="1:7" s="5" customFormat="1" ht="78.75">
      <c r="A312" s="26" t="s">
        <v>42</v>
      </c>
      <c r="B312" s="1" t="s">
        <v>554</v>
      </c>
      <c r="C312" s="2" t="s">
        <v>41</v>
      </c>
      <c r="D312" s="2"/>
      <c r="E312" s="51">
        <f t="shared" si="16"/>
        <v>8500000</v>
      </c>
      <c r="F312" s="51">
        <f t="shared" si="16"/>
        <v>716730</v>
      </c>
      <c r="G312" s="61">
        <f t="shared" si="15"/>
        <v>9216730</v>
      </c>
    </row>
    <row r="313" spans="1:7" s="5" customFormat="1" ht="15.75">
      <c r="A313" s="23" t="s">
        <v>400</v>
      </c>
      <c r="B313" s="1" t="s">
        <v>554</v>
      </c>
      <c r="C313" s="2" t="s">
        <v>41</v>
      </c>
      <c r="D313" s="2">
        <v>800</v>
      </c>
      <c r="E313" s="51">
        <f t="shared" si="16"/>
        <v>8500000</v>
      </c>
      <c r="F313" s="51">
        <f t="shared" si="16"/>
        <v>716730</v>
      </c>
      <c r="G313" s="61">
        <f t="shared" si="15"/>
        <v>9216730</v>
      </c>
    </row>
    <row r="314" spans="1:7" s="4" customFormat="1" ht="63">
      <c r="A314" s="25" t="s">
        <v>357</v>
      </c>
      <c r="B314" s="1" t="s">
        <v>554</v>
      </c>
      <c r="C314" s="2" t="s">
        <v>41</v>
      </c>
      <c r="D314" s="2">
        <v>810</v>
      </c>
      <c r="E314" s="54">
        <v>8500000</v>
      </c>
      <c r="F314" s="54">
        <f>716730</f>
        <v>716730</v>
      </c>
      <c r="G314" s="61">
        <f t="shared" si="15"/>
        <v>9216730</v>
      </c>
    </row>
    <row r="315" spans="1:7" s="5" customFormat="1" ht="31.5">
      <c r="A315" s="25" t="s">
        <v>529</v>
      </c>
      <c r="B315" s="1" t="s">
        <v>554</v>
      </c>
      <c r="C315" s="2" t="s">
        <v>45</v>
      </c>
      <c r="D315" s="2"/>
      <c r="E315" s="51">
        <f>SUM(E316,E319)</f>
        <v>36000000</v>
      </c>
      <c r="F315" s="51">
        <f>SUM(F316,F319)</f>
        <v>2000000</v>
      </c>
      <c r="G315" s="61">
        <f t="shared" si="15"/>
        <v>38000000</v>
      </c>
    </row>
    <row r="316" spans="1:7" s="5" customFormat="1" ht="31.5">
      <c r="A316" s="25" t="s">
        <v>434</v>
      </c>
      <c r="B316" s="1" t="s">
        <v>554</v>
      </c>
      <c r="C316" s="2" t="s">
        <v>46</v>
      </c>
      <c r="D316" s="2"/>
      <c r="E316" s="51">
        <f>E317</f>
        <v>30000000</v>
      </c>
      <c r="F316" s="51">
        <f>F317</f>
        <v>1894000</v>
      </c>
      <c r="G316" s="61">
        <f t="shared" si="15"/>
        <v>31894000</v>
      </c>
    </row>
    <row r="317" spans="1:7" s="5" customFormat="1" ht="15.75">
      <c r="A317" s="23" t="s">
        <v>400</v>
      </c>
      <c r="B317" s="1" t="s">
        <v>554</v>
      </c>
      <c r="C317" s="2" t="s">
        <v>46</v>
      </c>
      <c r="D317" s="2">
        <v>800</v>
      </c>
      <c r="E317" s="51">
        <f>E318</f>
        <v>30000000</v>
      </c>
      <c r="F317" s="51">
        <f>F318</f>
        <v>1894000</v>
      </c>
      <c r="G317" s="61">
        <f t="shared" si="15"/>
        <v>31894000</v>
      </c>
    </row>
    <row r="318" spans="1:7" s="5" customFormat="1" ht="63">
      <c r="A318" s="25" t="s">
        <v>357</v>
      </c>
      <c r="B318" s="1" t="s">
        <v>554</v>
      </c>
      <c r="C318" s="2" t="s">
        <v>46</v>
      </c>
      <c r="D318" s="2">
        <v>810</v>
      </c>
      <c r="E318" s="51">
        <v>30000000</v>
      </c>
      <c r="F318" s="51">
        <f>-106000+2000000</f>
        <v>1894000</v>
      </c>
      <c r="G318" s="61">
        <f t="shared" si="15"/>
        <v>31894000</v>
      </c>
    </row>
    <row r="319" spans="1:7" s="5" customFormat="1" ht="31.5">
      <c r="A319" s="25" t="s">
        <v>305</v>
      </c>
      <c r="B319" s="1" t="s">
        <v>554</v>
      </c>
      <c r="C319" s="2" t="s">
        <v>47</v>
      </c>
      <c r="D319" s="2"/>
      <c r="E319" s="51">
        <f>E320</f>
        <v>6000000</v>
      </c>
      <c r="F319" s="51">
        <f>F320</f>
        <v>106000</v>
      </c>
      <c r="G319" s="61">
        <f t="shared" si="15"/>
        <v>6106000</v>
      </c>
    </row>
    <row r="320" spans="1:7" s="5" customFormat="1" ht="31.5">
      <c r="A320" s="25" t="s">
        <v>390</v>
      </c>
      <c r="B320" s="1" t="s">
        <v>554</v>
      </c>
      <c r="C320" s="2" t="s">
        <v>47</v>
      </c>
      <c r="D320" s="2">
        <v>400</v>
      </c>
      <c r="E320" s="51">
        <f>E321</f>
        <v>6000000</v>
      </c>
      <c r="F320" s="51">
        <f>F321</f>
        <v>106000</v>
      </c>
      <c r="G320" s="61">
        <f t="shared" si="15"/>
        <v>6106000</v>
      </c>
    </row>
    <row r="321" spans="1:7" s="5" customFormat="1" ht="110.25">
      <c r="A321" s="25" t="s">
        <v>157</v>
      </c>
      <c r="B321" s="1" t="s">
        <v>554</v>
      </c>
      <c r="C321" s="2" t="s">
        <v>47</v>
      </c>
      <c r="D321" s="2">
        <v>460</v>
      </c>
      <c r="E321" s="51">
        <v>6000000</v>
      </c>
      <c r="F321" s="51">
        <f>106000</f>
        <v>106000</v>
      </c>
      <c r="G321" s="61">
        <f t="shared" si="15"/>
        <v>6106000</v>
      </c>
    </row>
    <row r="322" spans="1:7" s="5" customFormat="1" ht="31.5">
      <c r="A322" s="26" t="s">
        <v>530</v>
      </c>
      <c r="B322" s="1" t="s">
        <v>554</v>
      </c>
      <c r="C322" s="2" t="s">
        <v>54</v>
      </c>
      <c r="D322" s="2"/>
      <c r="E322" s="51">
        <f>E323+E326</f>
        <v>23700000</v>
      </c>
      <c r="F322" s="51">
        <f>F323+F326</f>
        <v>0</v>
      </c>
      <c r="G322" s="61">
        <f t="shared" si="15"/>
        <v>23700000</v>
      </c>
    </row>
    <row r="323" spans="1:7" s="5" customFormat="1" ht="31.5">
      <c r="A323" s="26" t="s">
        <v>488</v>
      </c>
      <c r="B323" s="1" t="s">
        <v>554</v>
      </c>
      <c r="C323" s="2" t="s">
        <v>56</v>
      </c>
      <c r="D323" s="2"/>
      <c r="E323" s="51">
        <f>E324</f>
        <v>22300000</v>
      </c>
      <c r="F323" s="51">
        <f>F324</f>
        <v>0</v>
      </c>
      <c r="G323" s="61">
        <f t="shared" si="15"/>
        <v>22300000</v>
      </c>
    </row>
    <row r="324" spans="1:7" s="5" customFormat="1" ht="31.5">
      <c r="A324" s="25" t="s">
        <v>392</v>
      </c>
      <c r="B324" s="1" t="s">
        <v>554</v>
      </c>
      <c r="C324" s="2" t="s">
        <v>56</v>
      </c>
      <c r="D324" s="2">
        <v>600</v>
      </c>
      <c r="E324" s="51">
        <f>E325</f>
        <v>22300000</v>
      </c>
      <c r="F324" s="51">
        <f>F325</f>
        <v>0</v>
      </c>
      <c r="G324" s="61">
        <f t="shared" si="15"/>
        <v>22300000</v>
      </c>
    </row>
    <row r="325" spans="1:7" s="5" customFormat="1" ht="15.75">
      <c r="A325" s="25" t="s">
        <v>395</v>
      </c>
      <c r="B325" s="1" t="s">
        <v>554</v>
      </c>
      <c r="C325" s="2" t="s">
        <v>56</v>
      </c>
      <c r="D325" s="2">
        <v>620</v>
      </c>
      <c r="E325" s="51">
        <f>23000000-700000</f>
        <v>22300000</v>
      </c>
      <c r="F325" s="51"/>
      <c r="G325" s="61">
        <f t="shared" si="15"/>
        <v>22300000</v>
      </c>
    </row>
    <row r="326" spans="1:7" s="5" customFormat="1" ht="31.5">
      <c r="A326" s="26" t="s">
        <v>489</v>
      </c>
      <c r="B326" s="1" t="s">
        <v>554</v>
      </c>
      <c r="C326" s="2" t="s">
        <v>57</v>
      </c>
      <c r="D326" s="2"/>
      <c r="E326" s="51">
        <f>E327</f>
        <v>1400000</v>
      </c>
      <c r="F326" s="51">
        <f>F327</f>
        <v>0</v>
      </c>
      <c r="G326" s="61">
        <f t="shared" si="15"/>
        <v>1400000</v>
      </c>
    </row>
    <row r="327" spans="1:7" s="5" customFormat="1" ht="31.5">
      <c r="A327" s="25" t="s">
        <v>392</v>
      </c>
      <c r="B327" s="1" t="s">
        <v>554</v>
      </c>
      <c r="C327" s="2" t="s">
        <v>57</v>
      </c>
      <c r="D327" s="2">
        <v>600</v>
      </c>
      <c r="E327" s="51">
        <f>E328</f>
        <v>1400000</v>
      </c>
      <c r="F327" s="51">
        <f>F328</f>
        <v>0</v>
      </c>
      <c r="G327" s="61">
        <f t="shared" si="15"/>
        <v>1400000</v>
      </c>
    </row>
    <row r="328" spans="1:7" s="4" customFormat="1" ht="15.75">
      <c r="A328" s="25" t="s">
        <v>395</v>
      </c>
      <c r="B328" s="1" t="s">
        <v>554</v>
      </c>
      <c r="C328" s="2" t="s">
        <v>57</v>
      </c>
      <c r="D328" s="2">
        <v>620</v>
      </c>
      <c r="E328" s="51">
        <f>700000+700000</f>
        <v>1400000</v>
      </c>
      <c r="F328" s="51"/>
      <c r="G328" s="61">
        <f t="shared" si="15"/>
        <v>1400000</v>
      </c>
    </row>
    <row r="329" spans="1:7" s="4" customFormat="1" ht="15.75">
      <c r="A329" s="26" t="s">
        <v>169</v>
      </c>
      <c r="B329" s="1" t="s">
        <v>554</v>
      </c>
      <c r="C329" s="2" t="s">
        <v>568</v>
      </c>
      <c r="D329" s="2"/>
      <c r="E329" s="51">
        <f aca="true" t="shared" si="17" ref="E329:F331">E330</f>
        <v>1835000</v>
      </c>
      <c r="F329" s="51">
        <f t="shared" si="17"/>
        <v>-708501</v>
      </c>
      <c r="G329" s="61">
        <f t="shared" si="15"/>
        <v>1126499</v>
      </c>
    </row>
    <row r="330" spans="1:7" s="4" customFormat="1" ht="31.5">
      <c r="A330" s="26" t="s">
        <v>170</v>
      </c>
      <c r="B330" s="1" t="s">
        <v>554</v>
      </c>
      <c r="C330" s="2" t="s">
        <v>48</v>
      </c>
      <c r="D330" s="2"/>
      <c r="E330" s="51">
        <f t="shared" si="17"/>
        <v>1835000</v>
      </c>
      <c r="F330" s="51">
        <f t="shared" si="17"/>
        <v>-708501</v>
      </c>
      <c r="G330" s="61">
        <f t="shared" si="15"/>
        <v>1126499</v>
      </c>
    </row>
    <row r="331" spans="1:7" s="5" customFormat="1" ht="31.5">
      <c r="A331" s="23" t="s">
        <v>211</v>
      </c>
      <c r="B331" s="1" t="s">
        <v>554</v>
      </c>
      <c r="C331" s="2" t="s">
        <v>48</v>
      </c>
      <c r="D331" s="2">
        <v>200</v>
      </c>
      <c r="E331" s="51">
        <f t="shared" si="17"/>
        <v>1835000</v>
      </c>
      <c r="F331" s="51">
        <f t="shared" si="17"/>
        <v>-708501</v>
      </c>
      <c r="G331" s="61">
        <f t="shared" si="15"/>
        <v>1126499</v>
      </c>
    </row>
    <row r="332" spans="1:7" s="5" customFormat="1" ht="31.5">
      <c r="A332" s="23" t="s">
        <v>396</v>
      </c>
      <c r="B332" s="1" t="s">
        <v>554</v>
      </c>
      <c r="C332" s="2" t="s">
        <v>48</v>
      </c>
      <c r="D332" s="2">
        <v>240</v>
      </c>
      <c r="E332" s="54">
        <v>1835000</v>
      </c>
      <c r="F332" s="54">
        <f>-300000-408501</f>
        <v>-708501</v>
      </c>
      <c r="G332" s="61">
        <f t="shared" si="15"/>
        <v>1126499</v>
      </c>
    </row>
    <row r="333" spans="1:7" s="5" customFormat="1" ht="31.5">
      <c r="A333" s="23" t="s">
        <v>325</v>
      </c>
      <c r="B333" s="1" t="s">
        <v>554</v>
      </c>
      <c r="C333" s="2" t="s">
        <v>320</v>
      </c>
      <c r="D333" s="2"/>
      <c r="E333" s="54">
        <f>E338+E344+E334+E340</f>
        <v>0</v>
      </c>
      <c r="F333" s="54">
        <f>F338+F344+F334+F340</f>
        <v>63275562</v>
      </c>
      <c r="G333" s="61">
        <f aca="true" t="shared" si="18" ref="G333:G345">SUM(E333:F333)</f>
        <v>63275562</v>
      </c>
    </row>
    <row r="334" spans="1:7" s="5" customFormat="1" ht="31.5">
      <c r="A334" s="23" t="s">
        <v>326</v>
      </c>
      <c r="B334" s="1" t="s">
        <v>554</v>
      </c>
      <c r="C334" s="2" t="s">
        <v>321</v>
      </c>
      <c r="D334" s="2"/>
      <c r="E334" s="54">
        <f>E335</f>
        <v>0</v>
      </c>
      <c r="F334" s="54">
        <f>F335</f>
        <v>17350000</v>
      </c>
      <c r="G334" s="61">
        <f t="shared" si="18"/>
        <v>17350000</v>
      </c>
    </row>
    <row r="335" spans="1:7" s="5" customFormat="1" ht="31.5">
      <c r="A335" s="23" t="s">
        <v>211</v>
      </c>
      <c r="B335" s="1" t="s">
        <v>554</v>
      </c>
      <c r="C335" s="2" t="s">
        <v>321</v>
      </c>
      <c r="D335" s="2">
        <v>200</v>
      </c>
      <c r="E335" s="54">
        <f>E336</f>
        <v>0</v>
      </c>
      <c r="F335" s="54">
        <f>F336</f>
        <v>17350000</v>
      </c>
      <c r="G335" s="61">
        <f t="shared" si="18"/>
        <v>17350000</v>
      </c>
    </row>
    <row r="336" spans="1:7" s="5" customFormat="1" ht="31.5">
      <c r="A336" s="23" t="s">
        <v>396</v>
      </c>
      <c r="B336" s="1" t="s">
        <v>554</v>
      </c>
      <c r="C336" s="2" t="s">
        <v>321</v>
      </c>
      <c r="D336" s="2">
        <v>240</v>
      </c>
      <c r="E336" s="54"/>
      <c r="F336" s="54">
        <f>17350000</f>
        <v>17350000</v>
      </c>
      <c r="G336" s="61">
        <f t="shared" si="18"/>
        <v>17350000</v>
      </c>
    </row>
    <row r="337" spans="1:7" s="5" customFormat="1" ht="15.75">
      <c r="A337" s="23" t="s">
        <v>327</v>
      </c>
      <c r="B337" s="1" t="s">
        <v>554</v>
      </c>
      <c r="C337" s="2" t="s">
        <v>322</v>
      </c>
      <c r="D337" s="2"/>
      <c r="E337" s="54">
        <f>E338</f>
        <v>0</v>
      </c>
      <c r="F337" s="54">
        <f>F338</f>
        <v>13141854</v>
      </c>
      <c r="G337" s="61">
        <f t="shared" si="18"/>
        <v>13141854</v>
      </c>
    </row>
    <row r="338" spans="1:7" s="5" customFormat="1" ht="31.5">
      <c r="A338" s="23" t="s">
        <v>211</v>
      </c>
      <c r="B338" s="1" t="s">
        <v>554</v>
      </c>
      <c r="C338" s="2" t="s">
        <v>322</v>
      </c>
      <c r="D338" s="2">
        <v>200</v>
      </c>
      <c r="E338" s="54">
        <f>E339</f>
        <v>0</v>
      </c>
      <c r="F338" s="54">
        <f>F339</f>
        <v>13141854</v>
      </c>
      <c r="G338" s="61">
        <f t="shared" si="18"/>
        <v>13141854</v>
      </c>
    </row>
    <row r="339" spans="1:7" s="5" customFormat="1" ht="31.5">
      <c r="A339" s="23" t="s">
        <v>396</v>
      </c>
      <c r="B339" s="1" t="s">
        <v>554</v>
      </c>
      <c r="C339" s="2" t="s">
        <v>322</v>
      </c>
      <c r="D339" s="2">
        <v>240</v>
      </c>
      <c r="E339" s="54"/>
      <c r="F339" s="54">
        <v>13141854</v>
      </c>
      <c r="G339" s="61">
        <f t="shared" si="18"/>
        <v>13141854</v>
      </c>
    </row>
    <row r="340" spans="1:7" s="5" customFormat="1" ht="31.5">
      <c r="A340" s="23" t="s">
        <v>332</v>
      </c>
      <c r="B340" s="1" t="s">
        <v>554</v>
      </c>
      <c r="C340" s="2" t="s">
        <v>323</v>
      </c>
      <c r="D340" s="2"/>
      <c r="E340" s="54">
        <f>E341</f>
        <v>0</v>
      </c>
      <c r="F340" s="54">
        <f>F341</f>
        <v>6500000</v>
      </c>
      <c r="G340" s="61">
        <f t="shared" si="18"/>
        <v>6500000</v>
      </c>
    </row>
    <row r="341" spans="1:7" s="5" customFormat="1" ht="31.5">
      <c r="A341" s="23" t="s">
        <v>211</v>
      </c>
      <c r="B341" s="1" t="s">
        <v>554</v>
      </c>
      <c r="C341" s="2" t="s">
        <v>323</v>
      </c>
      <c r="D341" s="2">
        <v>200</v>
      </c>
      <c r="E341" s="54">
        <f>E342</f>
        <v>0</v>
      </c>
      <c r="F341" s="54">
        <f>F342</f>
        <v>6500000</v>
      </c>
      <c r="G341" s="61">
        <f t="shared" si="18"/>
        <v>6500000</v>
      </c>
    </row>
    <row r="342" spans="1:7" s="5" customFormat="1" ht="31.5">
      <c r="A342" s="23" t="s">
        <v>396</v>
      </c>
      <c r="B342" s="1" t="s">
        <v>554</v>
      </c>
      <c r="C342" s="2" t="s">
        <v>323</v>
      </c>
      <c r="D342" s="2">
        <v>240</v>
      </c>
      <c r="E342" s="54"/>
      <c r="F342" s="54">
        <v>6500000</v>
      </c>
      <c r="G342" s="61">
        <f t="shared" si="18"/>
        <v>6500000</v>
      </c>
    </row>
    <row r="343" spans="1:7" s="5" customFormat="1" ht="15.75">
      <c r="A343" s="23" t="s">
        <v>333</v>
      </c>
      <c r="B343" s="1" t="s">
        <v>554</v>
      </c>
      <c r="C343" s="2" t="s">
        <v>324</v>
      </c>
      <c r="D343" s="2"/>
      <c r="E343" s="54">
        <f>E344</f>
        <v>0</v>
      </c>
      <c r="F343" s="54">
        <f>F344</f>
        <v>26283708</v>
      </c>
      <c r="G343" s="61">
        <f t="shared" si="18"/>
        <v>26283708</v>
      </c>
    </row>
    <row r="344" spans="1:7" s="5" customFormat="1" ht="31.5">
      <c r="A344" s="23" t="s">
        <v>211</v>
      </c>
      <c r="B344" s="1" t="s">
        <v>554</v>
      </c>
      <c r="C344" s="2" t="s">
        <v>324</v>
      </c>
      <c r="D344" s="2">
        <v>200</v>
      </c>
      <c r="E344" s="54">
        <f>E345</f>
        <v>0</v>
      </c>
      <c r="F344" s="54">
        <f>F345</f>
        <v>26283708</v>
      </c>
      <c r="G344" s="61">
        <f t="shared" si="18"/>
        <v>26283708</v>
      </c>
    </row>
    <row r="345" spans="1:7" s="5" customFormat="1" ht="31.5">
      <c r="A345" s="23" t="s">
        <v>396</v>
      </c>
      <c r="B345" s="1" t="s">
        <v>554</v>
      </c>
      <c r="C345" s="2" t="s">
        <v>324</v>
      </c>
      <c r="D345" s="2">
        <v>240</v>
      </c>
      <c r="E345" s="54"/>
      <c r="F345" s="54">
        <v>26283708</v>
      </c>
      <c r="G345" s="61">
        <f t="shared" si="18"/>
        <v>26283708</v>
      </c>
    </row>
    <row r="346" spans="1:7" s="4" customFormat="1" ht="15.75">
      <c r="A346" s="27" t="s">
        <v>411</v>
      </c>
      <c r="B346" s="1" t="s">
        <v>554</v>
      </c>
      <c r="C346" s="2" t="s">
        <v>209</v>
      </c>
      <c r="D346" s="1"/>
      <c r="E346" s="51">
        <f aca="true" t="shared" si="19" ref="E346:F349">E347</f>
        <v>325791</v>
      </c>
      <c r="F346" s="51">
        <f t="shared" si="19"/>
        <v>-325791</v>
      </c>
      <c r="G346" s="61">
        <f t="shared" si="15"/>
        <v>0</v>
      </c>
    </row>
    <row r="347" spans="1:7" s="4" customFormat="1" ht="47.25">
      <c r="A347" s="25" t="s">
        <v>483</v>
      </c>
      <c r="B347" s="1" t="s">
        <v>554</v>
      </c>
      <c r="C347" s="2" t="s">
        <v>25</v>
      </c>
      <c r="D347" s="2"/>
      <c r="E347" s="51">
        <f t="shared" si="19"/>
        <v>325791</v>
      </c>
      <c r="F347" s="51">
        <f t="shared" si="19"/>
        <v>-325791</v>
      </c>
      <c r="G347" s="61">
        <f t="shared" si="15"/>
        <v>0</v>
      </c>
    </row>
    <row r="348" spans="1:7" s="5" customFormat="1" ht="47.25">
      <c r="A348" s="25" t="s">
        <v>364</v>
      </c>
      <c r="B348" s="1" t="s">
        <v>554</v>
      </c>
      <c r="C348" s="2" t="s">
        <v>365</v>
      </c>
      <c r="D348" s="2"/>
      <c r="E348" s="54">
        <f t="shared" si="19"/>
        <v>325791</v>
      </c>
      <c r="F348" s="54">
        <f t="shared" si="19"/>
        <v>-325791</v>
      </c>
      <c r="G348" s="61">
        <f t="shared" si="15"/>
        <v>0</v>
      </c>
    </row>
    <row r="349" spans="1:7" s="5" customFormat="1" ht="31.5">
      <c r="A349" s="23" t="s">
        <v>211</v>
      </c>
      <c r="B349" s="1" t="s">
        <v>554</v>
      </c>
      <c r="C349" s="2" t="s">
        <v>365</v>
      </c>
      <c r="D349" s="2">
        <v>200</v>
      </c>
      <c r="E349" s="54">
        <f t="shared" si="19"/>
        <v>325791</v>
      </c>
      <c r="F349" s="54">
        <f t="shared" si="19"/>
        <v>-325791</v>
      </c>
      <c r="G349" s="61">
        <f t="shared" si="15"/>
        <v>0</v>
      </c>
    </row>
    <row r="350" spans="1:7" s="5" customFormat="1" ht="31.5">
      <c r="A350" s="25" t="s">
        <v>396</v>
      </c>
      <c r="B350" s="1" t="s">
        <v>554</v>
      </c>
      <c r="C350" s="2" t="s">
        <v>365</v>
      </c>
      <c r="D350" s="2">
        <v>240</v>
      </c>
      <c r="E350" s="54">
        <v>325791</v>
      </c>
      <c r="F350" s="54">
        <v>-325791</v>
      </c>
      <c r="G350" s="61">
        <f t="shared" si="15"/>
        <v>0</v>
      </c>
    </row>
    <row r="351" spans="1:7" s="30" customFormat="1" ht="31.5">
      <c r="A351" s="40" t="s">
        <v>264</v>
      </c>
      <c r="B351" s="12" t="s">
        <v>261</v>
      </c>
      <c r="C351" s="16"/>
      <c r="D351" s="16"/>
      <c r="E351" s="69">
        <f>E352</f>
        <v>0</v>
      </c>
      <c r="F351" s="69">
        <f>F352</f>
        <v>60985021</v>
      </c>
      <c r="G351" s="60">
        <f t="shared" si="15"/>
        <v>60985021</v>
      </c>
    </row>
    <row r="352" spans="1:7" s="5" customFormat="1" ht="37.5" customHeight="1">
      <c r="A352" s="25" t="s">
        <v>269</v>
      </c>
      <c r="B352" s="1" t="s">
        <v>261</v>
      </c>
      <c r="C352" s="2" t="s">
        <v>271</v>
      </c>
      <c r="D352" s="1"/>
      <c r="E352" s="51">
        <f>E356+E353</f>
        <v>0</v>
      </c>
      <c r="F352" s="51">
        <f>F356+F353</f>
        <v>60985021</v>
      </c>
      <c r="G352" s="61">
        <f t="shared" si="15"/>
        <v>60985021</v>
      </c>
    </row>
    <row r="353" spans="1:7" s="5" customFormat="1" ht="78.75">
      <c r="A353" s="25" t="s">
        <v>114</v>
      </c>
      <c r="B353" s="1" t="s">
        <v>261</v>
      </c>
      <c r="C353" s="2" t="s">
        <v>113</v>
      </c>
      <c r="D353" s="2"/>
      <c r="E353" s="51">
        <f>E354</f>
        <v>0</v>
      </c>
      <c r="F353" s="51">
        <f>F354</f>
        <v>3050000</v>
      </c>
      <c r="G353" s="61">
        <f t="shared" si="15"/>
        <v>3050000</v>
      </c>
    </row>
    <row r="354" spans="1:7" s="5" customFormat="1" ht="37.5" customHeight="1">
      <c r="A354" s="25" t="s">
        <v>390</v>
      </c>
      <c r="B354" s="1" t="s">
        <v>261</v>
      </c>
      <c r="C354" s="2" t="s">
        <v>113</v>
      </c>
      <c r="D354" s="2">
        <v>400</v>
      </c>
      <c r="E354" s="51">
        <f>E355</f>
        <v>0</v>
      </c>
      <c r="F354" s="51">
        <f>F355</f>
        <v>3050000</v>
      </c>
      <c r="G354" s="61">
        <f t="shared" si="15"/>
        <v>3050000</v>
      </c>
    </row>
    <row r="355" spans="1:7" s="5" customFormat="1" ht="15.75">
      <c r="A355" s="25" t="s">
        <v>391</v>
      </c>
      <c r="B355" s="1" t="s">
        <v>261</v>
      </c>
      <c r="C355" s="2" t="s">
        <v>113</v>
      </c>
      <c r="D355" s="2">
        <v>410</v>
      </c>
      <c r="E355" s="51"/>
      <c r="F355" s="51">
        <f>3050000</f>
        <v>3050000</v>
      </c>
      <c r="G355" s="61">
        <f t="shared" si="15"/>
        <v>3050000</v>
      </c>
    </row>
    <row r="356" spans="1:7" s="5" customFormat="1" ht="70.5" customHeight="1">
      <c r="A356" s="25" t="s">
        <v>262</v>
      </c>
      <c r="B356" s="1" t="s">
        <v>261</v>
      </c>
      <c r="C356" s="2" t="s">
        <v>263</v>
      </c>
      <c r="D356" s="2"/>
      <c r="E356" s="54">
        <f>E357</f>
        <v>0</v>
      </c>
      <c r="F356" s="54">
        <f>F357</f>
        <v>57935021</v>
      </c>
      <c r="G356" s="61">
        <f t="shared" si="15"/>
        <v>57935021</v>
      </c>
    </row>
    <row r="357" spans="1:7" s="5" customFormat="1" ht="31.5">
      <c r="A357" s="25" t="s">
        <v>390</v>
      </c>
      <c r="B357" s="1" t="s">
        <v>261</v>
      </c>
      <c r="C357" s="2" t="s">
        <v>263</v>
      </c>
      <c r="D357" s="2">
        <v>400</v>
      </c>
      <c r="E357" s="54">
        <f>E358</f>
        <v>0</v>
      </c>
      <c r="F357" s="54">
        <f>F358</f>
        <v>57935021</v>
      </c>
      <c r="G357" s="61">
        <f t="shared" si="15"/>
        <v>57935021</v>
      </c>
    </row>
    <row r="358" spans="1:7" s="5" customFormat="1" ht="15.75">
      <c r="A358" s="25" t="s">
        <v>391</v>
      </c>
      <c r="B358" s="1" t="s">
        <v>261</v>
      </c>
      <c r="C358" s="2" t="s">
        <v>263</v>
      </c>
      <c r="D358" s="2">
        <v>410</v>
      </c>
      <c r="E358" s="54"/>
      <c r="F358" s="54">
        <v>57935021</v>
      </c>
      <c r="G358" s="61">
        <f t="shared" si="15"/>
        <v>57935021</v>
      </c>
    </row>
    <row r="359" spans="1:7" s="5" customFormat="1" ht="15.75">
      <c r="A359" s="9" t="s">
        <v>555</v>
      </c>
      <c r="B359" s="8" t="s">
        <v>556</v>
      </c>
      <c r="C359" s="15"/>
      <c r="D359" s="15"/>
      <c r="E359" s="55">
        <f aca="true" t="shared" si="20" ref="E359:F364">E360</f>
        <v>900000</v>
      </c>
      <c r="F359" s="55">
        <f t="shared" si="20"/>
        <v>-716730</v>
      </c>
      <c r="G359" s="59">
        <f t="shared" si="15"/>
        <v>183270</v>
      </c>
    </row>
    <row r="360" spans="1:7" s="5" customFormat="1" ht="31.5">
      <c r="A360" s="10" t="s">
        <v>557</v>
      </c>
      <c r="B360" s="12" t="s">
        <v>558</v>
      </c>
      <c r="C360" s="15"/>
      <c r="D360" s="15"/>
      <c r="E360" s="50">
        <f t="shared" si="20"/>
        <v>900000</v>
      </c>
      <c r="F360" s="50">
        <f t="shared" si="20"/>
        <v>-716730</v>
      </c>
      <c r="G360" s="60">
        <f t="shared" si="15"/>
        <v>183270</v>
      </c>
    </row>
    <row r="361" spans="1:7" ht="31.5">
      <c r="A361" s="25" t="s">
        <v>186</v>
      </c>
      <c r="B361" s="1" t="s">
        <v>558</v>
      </c>
      <c r="C361" s="2" t="s">
        <v>569</v>
      </c>
      <c r="D361" s="33"/>
      <c r="E361" s="51">
        <f t="shared" si="20"/>
        <v>900000</v>
      </c>
      <c r="F361" s="51">
        <f t="shared" si="20"/>
        <v>-716730</v>
      </c>
      <c r="G361" s="61">
        <f t="shared" si="15"/>
        <v>183270</v>
      </c>
    </row>
    <row r="362" spans="1:7" s="4" customFormat="1" ht="31.5">
      <c r="A362" s="26" t="s">
        <v>528</v>
      </c>
      <c r="B362" s="1" t="s">
        <v>558</v>
      </c>
      <c r="C362" s="2" t="s">
        <v>40</v>
      </c>
      <c r="D362" s="2"/>
      <c r="E362" s="51">
        <f t="shared" si="20"/>
        <v>900000</v>
      </c>
      <c r="F362" s="51">
        <f t="shared" si="20"/>
        <v>-716730</v>
      </c>
      <c r="G362" s="61">
        <f t="shared" si="15"/>
        <v>183270</v>
      </c>
    </row>
    <row r="363" spans="1:7" s="4" customFormat="1" ht="31.5">
      <c r="A363" s="25" t="s">
        <v>43</v>
      </c>
      <c r="B363" s="1" t="s">
        <v>558</v>
      </c>
      <c r="C363" s="2" t="s">
        <v>44</v>
      </c>
      <c r="D363" s="2"/>
      <c r="E363" s="51">
        <f t="shared" si="20"/>
        <v>900000</v>
      </c>
      <c r="F363" s="51">
        <f t="shared" si="20"/>
        <v>-716730</v>
      </c>
      <c r="G363" s="61">
        <f t="shared" si="15"/>
        <v>183270</v>
      </c>
    </row>
    <row r="364" spans="1:7" s="5" customFormat="1" ht="15.75">
      <c r="A364" s="23" t="s">
        <v>400</v>
      </c>
      <c r="B364" s="1" t="s">
        <v>558</v>
      </c>
      <c r="C364" s="2" t="s">
        <v>44</v>
      </c>
      <c r="D364" s="2">
        <v>800</v>
      </c>
      <c r="E364" s="51">
        <f t="shared" si="20"/>
        <v>900000</v>
      </c>
      <c r="F364" s="51">
        <f t="shared" si="20"/>
        <v>-716730</v>
      </c>
      <c r="G364" s="61">
        <f t="shared" si="15"/>
        <v>183270</v>
      </c>
    </row>
    <row r="365" spans="1:7" s="5" customFormat="1" ht="63">
      <c r="A365" s="25" t="s">
        <v>357</v>
      </c>
      <c r="B365" s="1" t="s">
        <v>558</v>
      </c>
      <c r="C365" s="2" t="s">
        <v>44</v>
      </c>
      <c r="D365" s="2">
        <v>810</v>
      </c>
      <c r="E365" s="51">
        <v>900000</v>
      </c>
      <c r="F365" s="51">
        <f>-716730</f>
        <v>-716730</v>
      </c>
      <c r="G365" s="61">
        <f t="shared" si="15"/>
        <v>183270</v>
      </c>
    </row>
    <row r="366" spans="1:7" s="5" customFormat="1" ht="15.75">
      <c r="A366" s="9" t="s">
        <v>559</v>
      </c>
      <c r="B366" s="8" t="s">
        <v>560</v>
      </c>
      <c r="C366" s="15"/>
      <c r="D366" s="15"/>
      <c r="E366" s="55">
        <f>SUM(E367,E404,E436,E467,E496)</f>
        <v>1429069043</v>
      </c>
      <c r="F366" s="55">
        <f>SUM(F367,F404,F436,F467,F496)</f>
        <v>20674382.36</v>
      </c>
      <c r="G366" s="59">
        <f t="shared" si="15"/>
        <v>1449743425.36</v>
      </c>
    </row>
    <row r="367" spans="1:7" s="4" customFormat="1" ht="15.75">
      <c r="A367" s="10" t="s">
        <v>561</v>
      </c>
      <c r="B367" s="12" t="s">
        <v>562</v>
      </c>
      <c r="C367" s="15"/>
      <c r="D367" s="15"/>
      <c r="E367" s="50">
        <f>SUM(E368,E394,E386,E399)</f>
        <v>454486670</v>
      </c>
      <c r="F367" s="50">
        <f>SUM(F368,F394,F386,F399)</f>
        <v>9198751.36</v>
      </c>
      <c r="G367" s="60">
        <f t="shared" si="15"/>
        <v>463685421.36</v>
      </c>
    </row>
    <row r="368" spans="1:7" s="4" customFormat="1" ht="31.5">
      <c r="A368" s="25" t="s">
        <v>203</v>
      </c>
      <c r="B368" s="1" t="s">
        <v>562</v>
      </c>
      <c r="C368" s="2" t="s">
        <v>49</v>
      </c>
      <c r="D368" s="2"/>
      <c r="E368" s="51">
        <f>E369</f>
        <v>453686670</v>
      </c>
      <c r="F368" s="51">
        <f>F369</f>
        <v>4405660.359999999</v>
      </c>
      <c r="G368" s="61">
        <f t="shared" si="15"/>
        <v>458092330.36</v>
      </c>
    </row>
    <row r="369" spans="1:7" s="4" customFormat="1" ht="31.5">
      <c r="A369" s="26" t="s">
        <v>499</v>
      </c>
      <c r="B369" s="1" t="s">
        <v>562</v>
      </c>
      <c r="C369" s="2" t="s">
        <v>50</v>
      </c>
      <c r="D369" s="2"/>
      <c r="E369" s="51">
        <f>SUM(E370,E377,E380,E383,E374)</f>
        <v>453686670</v>
      </c>
      <c r="F369" s="51">
        <f>SUM(F370,F377,F380,F383,F374)</f>
        <v>4405660.359999999</v>
      </c>
      <c r="G369" s="61">
        <f t="shared" si="15"/>
        <v>458092330.36</v>
      </c>
    </row>
    <row r="370" spans="1:7" s="5" customFormat="1" ht="47.25">
      <c r="A370" s="26" t="s">
        <v>217</v>
      </c>
      <c r="B370" s="1" t="s">
        <v>562</v>
      </c>
      <c r="C370" s="2" t="s">
        <v>250</v>
      </c>
      <c r="D370" s="2"/>
      <c r="E370" s="51">
        <f>E371</f>
        <v>336837508</v>
      </c>
      <c r="F370" s="51">
        <f>F371</f>
        <v>-64775307</v>
      </c>
      <c r="G370" s="61">
        <f t="shared" si="15"/>
        <v>272062201</v>
      </c>
    </row>
    <row r="371" spans="1:7" ht="31.5">
      <c r="A371" s="25" t="s">
        <v>392</v>
      </c>
      <c r="B371" s="1" t="s">
        <v>562</v>
      </c>
      <c r="C371" s="2" t="s">
        <v>250</v>
      </c>
      <c r="D371" s="2">
        <v>600</v>
      </c>
      <c r="E371" s="51">
        <f>SUM(E372:E373)</f>
        <v>336837508</v>
      </c>
      <c r="F371" s="51">
        <f>SUM(F372:F373)</f>
        <v>-64775307</v>
      </c>
      <c r="G371" s="61">
        <f t="shared" si="15"/>
        <v>272062201</v>
      </c>
    </row>
    <row r="372" spans="1:7" s="4" customFormat="1" ht="15.75">
      <c r="A372" s="25" t="s">
        <v>385</v>
      </c>
      <c r="B372" s="1" t="s">
        <v>562</v>
      </c>
      <c r="C372" s="2" t="s">
        <v>250</v>
      </c>
      <c r="D372" s="2">
        <v>610</v>
      </c>
      <c r="E372" s="54">
        <v>335657062</v>
      </c>
      <c r="F372" s="54">
        <f>-64642355</f>
        <v>-64642355</v>
      </c>
      <c r="G372" s="61">
        <f t="shared" si="15"/>
        <v>271014707</v>
      </c>
    </row>
    <row r="373" spans="1:7" ht="47.25">
      <c r="A373" s="25" t="s">
        <v>393</v>
      </c>
      <c r="B373" s="1" t="s">
        <v>562</v>
      </c>
      <c r="C373" s="2" t="s">
        <v>250</v>
      </c>
      <c r="D373" s="2">
        <v>630</v>
      </c>
      <c r="E373" s="54">
        <v>1180446</v>
      </c>
      <c r="F373" s="54">
        <f>-132952</f>
        <v>-132952</v>
      </c>
      <c r="G373" s="61">
        <f t="shared" si="15"/>
        <v>1047494</v>
      </c>
    </row>
    <row r="374" spans="1:7" ht="141.75">
      <c r="A374" s="67" t="s">
        <v>342</v>
      </c>
      <c r="B374" s="1" t="s">
        <v>562</v>
      </c>
      <c r="C374" s="2" t="s">
        <v>334</v>
      </c>
      <c r="D374" s="2"/>
      <c r="E374" s="54">
        <f>E375</f>
        <v>0</v>
      </c>
      <c r="F374" s="54">
        <f>F375</f>
        <v>70308626.41</v>
      </c>
      <c r="G374" s="61">
        <f>SUM(E374:F374)</f>
        <v>70308626.41</v>
      </c>
    </row>
    <row r="375" spans="1:7" ht="31.5">
      <c r="A375" s="25" t="s">
        <v>392</v>
      </c>
      <c r="B375" s="1" t="s">
        <v>562</v>
      </c>
      <c r="C375" s="2" t="s">
        <v>334</v>
      </c>
      <c r="D375" s="2">
        <v>600</v>
      </c>
      <c r="E375" s="54">
        <f>E376</f>
        <v>0</v>
      </c>
      <c r="F375" s="54">
        <f>F376</f>
        <v>70308626.41</v>
      </c>
      <c r="G375" s="61">
        <f>SUM(E375:F375)</f>
        <v>70308626.41</v>
      </c>
    </row>
    <row r="376" spans="1:7" ht="15.75">
      <c r="A376" s="25" t="s">
        <v>385</v>
      </c>
      <c r="B376" s="1" t="s">
        <v>562</v>
      </c>
      <c r="C376" s="2" t="s">
        <v>334</v>
      </c>
      <c r="D376" s="2">
        <v>610</v>
      </c>
      <c r="E376" s="54"/>
      <c r="F376" s="54">
        <f>11282649+4151363+1253198+36603137-3463580+6563897+6585692.35+7332270.06</f>
        <v>70308626.41</v>
      </c>
      <c r="G376" s="61">
        <f>SUM(E376:F376)</f>
        <v>70308626.41</v>
      </c>
    </row>
    <row r="377" spans="1:7" ht="47.25">
      <c r="A377" s="26" t="s">
        <v>218</v>
      </c>
      <c r="B377" s="1" t="s">
        <v>562</v>
      </c>
      <c r="C377" s="2" t="s">
        <v>461</v>
      </c>
      <c r="D377" s="2"/>
      <c r="E377" s="51">
        <f>E378</f>
        <v>84257862</v>
      </c>
      <c r="F377" s="51">
        <f>F378</f>
        <v>-6336055</v>
      </c>
      <c r="G377" s="61">
        <f t="shared" si="15"/>
        <v>77921807</v>
      </c>
    </row>
    <row r="378" spans="1:7" s="4" customFormat="1" ht="31.5">
      <c r="A378" s="25" t="s">
        <v>392</v>
      </c>
      <c r="B378" s="1" t="s">
        <v>562</v>
      </c>
      <c r="C378" s="2" t="s">
        <v>461</v>
      </c>
      <c r="D378" s="2">
        <v>600</v>
      </c>
      <c r="E378" s="51">
        <f>E379</f>
        <v>84257862</v>
      </c>
      <c r="F378" s="51">
        <f>F379</f>
        <v>-6336055</v>
      </c>
      <c r="G378" s="61">
        <f t="shared" si="15"/>
        <v>77921807</v>
      </c>
    </row>
    <row r="379" spans="1:7" ht="15.75">
      <c r="A379" s="25" t="s">
        <v>385</v>
      </c>
      <c r="B379" s="1" t="s">
        <v>562</v>
      </c>
      <c r="C379" s="2" t="s">
        <v>461</v>
      </c>
      <c r="D379" s="2">
        <v>610</v>
      </c>
      <c r="E379" s="51">
        <v>84257862</v>
      </c>
      <c r="F379" s="51">
        <v>-6336055</v>
      </c>
      <c r="G379" s="61">
        <f t="shared" si="15"/>
        <v>77921807</v>
      </c>
    </row>
    <row r="380" spans="1:7" s="4" customFormat="1" ht="31.5">
      <c r="A380" s="26" t="s">
        <v>219</v>
      </c>
      <c r="B380" s="1" t="s">
        <v>562</v>
      </c>
      <c r="C380" s="2" t="s">
        <v>462</v>
      </c>
      <c r="D380" s="2"/>
      <c r="E380" s="51">
        <f>E381</f>
        <v>13900000</v>
      </c>
      <c r="F380" s="51">
        <f>F381</f>
        <v>5208395.95</v>
      </c>
      <c r="G380" s="61">
        <f t="shared" si="15"/>
        <v>19108395.95</v>
      </c>
    </row>
    <row r="381" spans="1:7" s="4" customFormat="1" ht="31.5">
      <c r="A381" s="25" t="s">
        <v>392</v>
      </c>
      <c r="B381" s="1" t="s">
        <v>562</v>
      </c>
      <c r="C381" s="2" t="s">
        <v>462</v>
      </c>
      <c r="D381" s="2">
        <v>600</v>
      </c>
      <c r="E381" s="51">
        <f>E382</f>
        <v>13900000</v>
      </c>
      <c r="F381" s="51">
        <f>F382</f>
        <v>5208395.95</v>
      </c>
      <c r="G381" s="61">
        <f t="shared" si="15"/>
        <v>19108395.95</v>
      </c>
    </row>
    <row r="382" spans="1:7" s="5" customFormat="1" ht="15.75">
      <c r="A382" s="25" t="s">
        <v>385</v>
      </c>
      <c r="B382" s="1" t="s">
        <v>562</v>
      </c>
      <c r="C382" s="2" t="s">
        <v>462</v>
      </c>
      <c r="D382" s="2">
        <v>610</v>
      </c>
      <c r="E382" s="51">
        <v>13900000</v>
      </c>
      <c r="F382" s="51">
        <f>3540688.95-633307+631100+474914+1695000-500000</f>
        <v>5208395.95</v>
      </c>
      <c r="G382" s="61">
        <f t="shared" si="15"/>
        <v>19108395.95</v>
      </c>
    </row>
    <row r="383" spans="1:7" s="5" customFormat="1" ht="47.25">
      <c r="A383" s="25" t="s">
        <v>387</v>
      </c>
      <c r="B383" s="1" t="s">
        <v>562</v>
      </c>
      <c r="C383" s="2" t="s">
        <v>386</v>
      </c>
      <c r="D383" s="2"/>
      <c r="E383" s="51">
        <f>E384</f>
        <v>18691300</v>
      </c>
      <c r="F383" s="51">
        <f>F384</f>
        <v>0</v>
      </c>
      <c r="G383" s="61">
        <f t="shared" si="15"/>
        <v>18691300</v>
      </c>
    </row>
    <row r="384" spans="1:7" s="5" customFormat="1" ht="31.5">
      <c r="A384" s="25" t="s">
        <v>390</v>
      </c>
      <c r="B384" s="1" t="s">
        <v>562</v>
      </c>
      <c r="C384" s="2" t="s">
        <v>386</v>
      </c>
      <c r="D384" s="2">
        <v>400</v>
      </c>
      <c r="E384" s="51">
        <f>E385</f>
        <v>18691300</v>
      </c>
      <c r="F384" s="51">
        <f>F385</f>
        <v>0</v>
      </c>
      <c r="G384" s="61">
        <f t="shared" si="15"/>
        <v>18691300</v>
      </c>
    </row>
    <row r="385" spans="1:7" s="5" customFormat="1" ht="15.75">
      <c r="A385" s="25" t="s">
        <v>391</v>
      </c>
      <c r="B385" s="1" t="s">
        <v>562</v>
      </c>
      <c r="C385" s="2" t="s">
        <v>386</v>
      </c>
      <c r="D385" s="2">
        <v>410</v>
      </c>
      <c r="E385" s="51">
        <v>18691300</v>
      </c>
      <c r="F385" s="51"/>
      <c r="G385" s="61">
        <f t="shared" si="15"/>
        <v>18691300</v>
      </c>
    </row>
    <row r="386" spans="1:7" s="5" customFormat="1" ht="31.5">
      <c r="A386" s="24" t="s">
        <v>198</v>
      </c>
      <c r="B386" s="1" t="s">
        <v>562</v>
      </c>
      <c r="C386" s="1" t="s">
        <v>6</v>
      </c>
      <c r="D386" s="1"/>
      <c r="E386" s="51">
        <f>E387</f>
        <v>0</v>
      </c>
      <c r="F386" s="51">
        <f>F387</f>
        <v>3166540</v>
      </c>
      <c r="G386" s="61">
        <f aca="true" t="shared" si="21" ref="G386:G393">SUM(E386:F386)</f>
        <v>3166540</v>
      </c>
    </row>
    <row r="387" spans="1:7" s="5" customFormat="1" ht="15.75">
      <c r="A387" s="36" t="s">
        <v>524</v>
      </c>
      <c r="B387" s="1" t="s">
        <v>562</v>
      </c>
      <c r="C387" s="1" t="s">
        <v>7</v>
      </c>
      <c r="D387" s="1"/>
      <c r="E387" s="51">
        <f>E391</f>
        <v>0</v>
      </c>
      <c r="F387" s="51">
        <f>SUM(F388,F391)</f>
        <v>3166540</v>
      </c>
      <c r="G387" s="61">
        <f t="shared" si="21"/>
        <v>3166540</v>
      </c>
    </row>
    <row r="388" spans="1:7" s="5" customFormat="1" ht="47.25">
      <c r="A388" s="25" t="s">
        <v>280</v>
      </c>
      <c r="B388" s="1" t="s">
        <v>562</v>
      </c>
      <c r="C388" s="2" t="s">
        <v>281</v>
      </c>
      <c r="D388" s="2"/>
      <c r="E388" s="51">
        <f>E389</f>
        <v>0</v>
      </c>
      <c r="F388" s="51">
        <f>F389</f>
        <v>633307</v>
      </c>
      <c r="G388" s="61">
        <f t="shared" si="21"/>
        <v>633307</v>
      </c>
    </row>
    <row r="389" spans="1:7" s="5" customFormat="1" ht="31.5">
      <c r="A389" s="25" t="s">
        <v>392</v>
      </c>
      <c r="B389" s="1" t="s">
        <v>562</v>
      </c>
      <c r="C389" s="2" t="s">
        <v>281</v>
      </c>
      <c r="D389" s="2">
        <v>600</v>
      </c>
      <c r="E389" s="51">
        <f>E390</f>
        <v>0</v>
      </c>
      <c r="F389" s="51">
        <f>F390</f>
        <v>633307</v>
      </c>
      <c r="G389" s="61">
        <f t="shared" si="21"/>
        <v>633307</v>
      </c>
    </row>
    <row r="390" spans="1:7" s="5" customFormat="1" ht="15.75">
      <c r="A390" s="25" t="s">
        <v>385</v>
      </c>
      <c r="B390" s="1" t="s">
        <v>562</v>
      </c>
      <c r="C390" s="2" t="s">
        <v>281</v>
      </c>
      <c r="D390" s="2">
        <v>610</v>
      </c>
      <c r="E390" s="51"/>
      <c r="F390" s="51">
        <v>633307</v>
      </c>
      <c r="G390" s="61">
        <f t="shared" si="21"/>
        <v>633307</v>
      </c>
    </row>
    <row r="391" spans="1:7" s="5" customFormat="1" ht="47.25">
      <c r="A391" s="25" t="s">
        <v>313</v>
      </c>
      <c r="B391" s="1" t="s">
        <v>562</v>
      </c>
      <c r="C391" s="2" t="s">
        <v>312</v>
      </c>
      <c r="D391" s="2"/>
      <c r="E391" s="51">
        <f>E392</f>
        <v>0</v>
      </c>
      <c r="F391" s="51">
        <f>F392</f>
        <v>2533233</v>
      </c>
      <c r="G391" s="61">
        <f t="shared" si="21"/>
        <v>2533233</v>
      </c>
    </row>
    <row r="392" spans="1:7" s="5" customFormat="1" ht="31.5">
      <c r="A392" s="25" t="s">
        <v>392</v>
      </c>
      <c r="B392" s="1" t="s">
        <v>562</v>
      </c>
      <c r="C392" s="2" t="s">
        <v>312</v>
      </c>
      <c r="D392" s="2">
        <v>600</v>
      </c>
      <c r="E392" s="51">
        <f>E393</f>
        <v>0</v>
      </c>
      <c r="F392" s="51">
        <f>F393</f>
        <v>2533233</v>
      </c>
      <c r="G392" s="61">
        <f t="shared" si="21"/>
        <v>2533233</v>
      </c>
    </row>
    <row r="393" spans="1:7" s="5" customFormat="1" ht="15.75">
      <c r="A393" s="25" t="s">
        <v>385</v>
      </c>
      <c r="B393" s="1" t="s">
        <v>562</v>
      </c>
      <c r="C393" s="2" t="s">
        <v>312</v>
      </c>
      <c r="D393" s="2">
        <v>610</v>
      </c>
      <c r="E393" s="51"/>
      <c r="F393" s="51">
        <v>2533233</v>
      </c>
      <c r="G393" s="61">
        <f t="shared" si="21"/>
        <v>2533233</v>
      </c>
    </row>
    <row r="394" spans="1:7" s="5" customFormat="1" ht="47.25">
      <c r="A394" s="25" t="s">
        <v>196</v>
      </c>
      <c r="B394" s="1" t="s">
        <v>562</v>
      </c>
      <c r="C394" s="2" t="s">
        <v>570</v>
      </c>
      <c r="D394" s="2"/>
      <c r="E394" s="51">
        <f>SUM(E395)</f>
        <v>800000</v>
      </c>
      <c r="F394" s="51">
        <f>SUM(F395)</f>
        <v>0</v>
      </c>
      <c r="G394" s="61">
        <f t="shared" si="15"/>
        <v>800000</v>
      </c>
    </row>
    <row r="395" spans="1:7" ht="47.25">
      <c r="A395" s="26" t="s">
        <v>162</v>
      </c>
      <c r="B395" s="1" t="s">
        <v>562</v>
      </c>
      <c r="C395" s="2" t="s">
        <v>574</v>
      </c>
      <c r="D395" s="2"/>
      <c r="E395" s="51">
        <f aca="true" t="shared" si="22" ref="E395:F397">E396</f>
        <v>800000</v>
      </c>
      <c r="F395" s="51">
        <f t="shared" si="22"/>
        <v>0</v>
      </c>
      <c r="G395" s="61">
        <f t="shared" si="15"/>
        <v>800000</v>
      </c>
    </row>
    <row r="396" spans="1:7" s="4" customFormat="1" ht="31.5">
      <c r="A396" s="26" t="s">
        <v>397</v>
      </c>
      <c r="B396" s="1" t="s">
        <v>562</v>
      </c>
      <c r="C396" s="2" t="s">
        <v>470</v>
      </c>
      <c r="D396" s="2"/>
      <c r="E396" s="51">
        <f t="shared" si="22"/>
        <v>800000</v>
      </c>
      <c r="F396" s="51">
        <f t="shared" si="22"/>
        <v>0</v>
      </c>
      <c r="G396" s="61">
        <f t="shared" si="15"/>
        <v>800000</v>
      </c>
    </row>
    <row r="397" spans="1:7" ht="31.5">
      <c r="A397" s="25" t="s">
        <v>392</v>
      </c>
      <c r="B397" s="1" t="s">
        <v>562</v>
      </c>
      <c r="C397" s="2" t="s">
        <v>470</v>
      </c>
      <c r="D397" s="2">
        <v>600</v>
      </c>
      <c r="E397" s="51">
        <f t="shared" si="22"/>
        <v>800000</v>
      </c>
      <c r="F397" s="51">
        <f t="shared" si="22"/>
        <v>0</v>
      </c>
      <c r="G397" s="61">
        <f t="shared" si="15"/>
        <v>800000</v>
      </c>
    </row>
    <row r="398" spans="1:7" ht="15.75">
      <c r="A398" s="25" t="s">
        <v>385</v>
      </c>
      <c r="B398" s="1" t="s">
        <v>562</v>
      </c>
      <c r="C398" s="2" t="s">
        <v>470</v>
      </c>
      <c r="D398" s="2">
        <v>610</v>
      </c>
      <c r="E398" s="54">
        <v>800000</v>
      </c>
      <c r="F398" s="54"/>
      <c r="G398" s="61">
        <f t="shared" si="15"/>
        <v>800000</v>
      </c>
    </row>
    <row r="399" spans="1:7" ht="15.75">
      <c r="A399" s="27" t="s">
        <v>411</v>
      </c>
      <c r="B399" s="1" t="s">
        <v>562</v>
      </c>
      <c r="C399" s="2" t="s">
        <v>209</v>
      </c>
      <c r="D399" s="12"/>
      <c r="E399" s="51">
        <f aca="true" t="shared" si="23" ref="E399:F402">E400</f>
        <v>0</v>
      </c>
      <c r="F399" s="51">
        <f t="shared" si="23"/>
        <v>1626551</v>
      </c>
      <c r="G399" s="61">
        <f>SUM(E399:F399)</f>
        <v>1626551</v>
      </c>
    </row>
    <row r="400" spans="1:7" ht="47.25">
      <c r="A400" s="25" t="s">
        <v>604</v>
      </c>
      <c r="B400" s="1" t="s">
        <v>562</v>
      </c>
      <c r="C400" s="2" t="s">
        <v>583</v>
      </c>
      <c r="D400" s="2"/>
      <c r="E400" s="51">
        <f t="shared" si="23"/>
        <v>0</v>
      </c>
      <c r="F400" s="51">
        <f t="shared" si="23"/>
        <v>1626551</v>
      </c>
      <c r="G400" s="61">
        <f>SUM(E400:F400)</f>
        <v>1626551</v>
      </c>
    </row>
    <row r="401" spans="1:7" ht="51" customHeight="1">
      <c r="A401" s="25" t="s">
        <v>279</v>
      </c>
      <c r="B401" s="1" t="s">
        <v>562</v>
      </c>
      <c r="C401" s="2" t="s">
        <v>546</v>
      </c>
      <c r="D401" s="2"/>
      <c r="E401" s="51">
        <f t="shared" si="23"/>
        <v>0</v>
      </c>
      <c r="F401" s="51">
        <f t="shared" si="23"/>
        <v>1626551</v>
      </c>
      <c r="G401" s="61">
        <f>SUM(E401:F401)</f>
        <v>1626551</v>
      </c>
    </row>
    <row r="402" spans="1:7" ht="31.5">
      <c r="A402" s="25" t="s">
        <v>392</v>
      </c>
      <c r="B402" s="1" t="s">
        <v>562</v>
      </c>
      <c r="C402" s="2" t="s">
        <v>546</v>
      </c>
      <c r="D402" s="2">
        <v>600</v>
      </c>
      <c r="E402" s="51">
        <f t="shared" si="23"/>
        <v>0</v>
      </c>
      <c r="F402" s="51">
        <f t="shared" si="23"/>
        <v>1626551</v>
      </c>
      <c r="G402" s="61">
        <f>SUM(E402:F402)</f>
        <v>1626551</v>
      </c>
    </row>
    <row r="403" spans="1:7" ht="15.75">
      <c r="A403" s="25" t="s">
        <v>385</v>
      </c>
      <c r="B403" s="1" t="s">
        <v>562</v>
      </c>
      <c r="C403" s="2" t="s">
        <v>546</v>
      </c>
      <c r="D403" s="2">
        <v>610</v>
      </c>
      <c r="E403" s="51"/>
      <c r="F403" s="51">
        <v>1626551</v>
      </c>
      <c r="G403" s="61">
        <f>SUM(E403:F403)</f>
        <v>1626551</v>
      </c>
    </row>
    <row r="404" spans="1:7" ht="15.75">
      <c r="A404" s="10" t="s">
        <v>563</v>
      </c>
      <c r="B404" s="12" t="s">
        <v>564</v>
      </c>
      <c r="C404" s="2"/>
      <c r="D404" s="2"/>
      <c r="E404" s="50">
        <f>SUM(E405,E431)</f>
        <v>700038303</v>
      </c>
      <c r="F404" s="50">
        <f>SUM(F405,F431)</f>
        <v>5554157</v>
      </c>
      <c r="G404" s="60">
        <f aca="true" t="shared" si="24" ref="G404:G481">SUM(E404:F404)</f>
        <v>705592460</v>
      </c>
    </row>
    <row r="405" spans="1:7" ht="31.5">
      <c r="A405" s="25" t="s">
        <v>203</v>
      </c>
      <c r="B405" s="1" t="s">
        <v>564</v>
      </c>
      <c r="C405" s="2" t="s">
        <v>49</v>
      </c>
      <c r="D405" s="2"/>
      <c r="E405" s="51">
        <f>SUM(E406,E426)</f>
        <v>700038303</v>
      </c>
      <c r="F405" s="51">
        <f>SUM(F406,F426)</f>
        <v>4692152</v>
      </c>
      <c r="G405" s="61">
        <f t="shared" si="24"/>
        <v>704730455</v>
      </c>
    </row>
    <row r="406" spans="1:7" ht="31.5">
      <c r="A406" s="26" t="s">
        <v>500</v>
      </c>
      <c r="B406" s="1" t="s">
        <v>564</v>
      </c>
      <c r="C406" s="2" t="s">
        <v>458</v>
      </c>
      <c r="D406" s="2"/>
      <c r="E406" s="51">
        <f>SUM(E407,E411,E414,E417,E420,E423)</f>
        <v>656338303</v>
      </c>
      <c r="F406" s="51">
        <f>SUM(F407,F411,F414,F417,F420,F423)</f>
        <v>4692152</v>
      </c>
      <c r="G406" s="61">
        <f t="shared" si="24"/>
        <v>661030455</v>
      </c>
    </row>
    <row r="407" spans="1:7" s="5" customFormat="1" ht="31.5">
      <c r="A407" s="26" t="s">
        <v>221</v>
      </c>
      <c r="B407" s="1" t="s">
        <v>564</v>
      </c>
      <c r="C407" s="2" t="s">
        <v>251</v>
      </c>
      <c r="D407" s="2"/>
      <c r="E407" s="51">
        <f>E408</f>
        <v>477928941</v>
      </c>
      <c r="F407" s="51">
        <f>F408</f>
        <v>0</v>
      </c>
      <c r="G407" s="61">
        <f t="shared" si="24"/>
        <v>477928941</v>
      </c>
    </row>
    <row r="408" spans="1:7" s="5" customFormat="1" ht="31.5">
      <c r="A408" s="25" t="s">
        <v>392</v>
      </c>
      <c r="B408" s="1" t="s">
        <v>564</v>
      </c>
      <c r="C408" s="2" t="s">
        <v>251</v>
      </c>
      <c r="D408" s="2">
        <v>600</v>
      </c>
      <c r="E408" s="51">
        <f>E409+E410</f>
        <v>477928941</v>
      </c>
      <c r="F408" s="51">
        <f>F409+F410</f>
        <v>0</v>
      </c>
      <c r="G408" s="61">
        <f t="shared" si="24"/>
        <v>477928941</v>
      </c>
    </row>
    <row r="409" spans="1:7" s="5" customFormat="1" ht="15.75">
      <c r="A409" s="25" t="s">
        <v>385</v>
      </c>
      <c r="B409" s="1" t="s">
        <v>564</v>
      </c>
      <c r="C409" s="2" t="s">
        <v>251</v>
      </c>
      <c r="D409" s="2">
        <v>610</v>
      </c>
      <c r="E409" s="54">
        <v>452020048</v>
      </c>
      <c r="F409" s="54">
        <v>2043949</v>
      </c>
      <c r="G409" s="61">
        <f t="shared" si="24"/>
        <v>454063997</v>
      </c>
    </row>
    <row r="410" spans="1:7" s="5" customFormat="1" ht="47.25">
      <c r="A410" s="25" t="s">
        <v>393</v>
      </c>
      <c r="B410" s="1" t="s">
        <v>564</v>
      </c>
      <c r="C410" s="2" t="s">
        <v>251</v>
      </c>
      <c r="D410" s="2">
        <v>630</v>
      </c>
      <c r="E410" s="54">
        <v>25908893</v>
      </c>
      <c r="F410" s="54">
        <v>-2043949</v>
      </c>
      <c r="G410" s="61">
        <f t="shared" si="24"/>
        <v>23864944</v>
      </c>
    </row>
    <row r="411" spans="1:7" s="5" customFormat="1" ht="47.25">
      <c r="A411" s="26" t="s">
        <v>222</v>
      </c>
      <c r="B411" s="1" t="s">
        <v>564</v>
      </c>
      <c r="C411" s="2" t="s">
        <v>252</v>
      </c>
      <c r="D411" s="2"/>
      <c r="E411" s="54">
        <f>E412</f>
        <v>1766294</v>
      </c>
      <c r="F411" s="54">
        <f>F412</f>
        <v>56958</v>
      </c>
      <c r="G411" s="61">
        <f t="shared" si="24"/>
        <v>1823252</v>
      </c>
    </row>
    <row r="412" spans="1:7" s="4" customFormat="1" ht="31.5">
      <c r="A412" s="25" t="s">
        <v>392</v>
      </c>
      <c r="B412" s="1" t="s">
        <v>564</v>
      </c>
      <c r="C412" s="2" t="s">
        <v>252</v>
      </c>
      <c r="D412" s="2">
        <v>600</v>
      </c>
      <c r="E412" s="54">
        <f>E413</f>
        <v>1766294</v>
      </c>
      <c r="F412" s="54">
        <f>F413</f>
        <v>56958</v>
      </c>
      <c r="G412" s="61">
        <f t="shared" si="24"/>
        <v>1823252</v>
      </c>
    </row>
    <row r="413" spans="1:7" s="4" customFormat="1" ht="15.75">
      <c r="A413" s="25" t="s">
        <v>385</v>
      </c>
      <c r="B413" s="1" t="s">
        <v>564</v>
      </c>
      <c r="C413" s="2" t="s">
        <v>252</v>
      </c>
      <c r="D413" s="2">
        <v>610</v>
      </c>
      <c r="E413" s="54">
        <v>1766294</v>
      </c>
      <c r="F413" s="54">
        <f>56958</f>
        <v>56958</v>
      </c>
      <c r="G413" s="61">
        <f t="shared" si="24"/>
        <v>1823252</v>
      </c>
    </row>
    <row r="414" spans="1:7" s="4" customFormat="1" ht="116.25" customHeight="1">
      <c r="A414" s="67" t="s">
        <v>277</v>
      </c>
      <c r="B414" s="1" t="s">
        <v>564</v>
      </c>
      <c r="C414" s="2" t="s">
        <v>278</v>
      </c>
      <c r="D414" s="2"/>
      <c r="E414" s="61">
        <f>E415</f>
        <v>0</v>
      </c>
      <c r="F414" s="61">
        <f>F415</f>
        <v>4157163</v>
      </c>
      <c r="G414" s="61">
        <f t="shared" si="24"/>
        <v>4157163</v>
      </c>
    </row>
    <row r="415" spans="1:7" s="4" customFormat="1" ht="31.5">
      <c r="A415" s="25" t="s">
        <v>392</v>
      </c>
      <c r="B415" s="1" t="s">
        <v>564</v>
      </c>
      <c r="C415" s="2" t="s">
        <v>278</v>
      </c>
      <c r="D415" s="2">
        <v>600</v>
      </c>
      <c r="E415" s="61">
        <f>E416</f>
        <v>0</v>
      </c>
      <c r="F415" s="61">
        <f>F416</f>
        <v>4157163</v>
      </c>
      <c r="G415" s="61">
        <f t="shared" si="24"/>
        <v>4157163</v>
      </c>
    </row>
    <row r="416" spans="1:7" s="4" customFormat="1" ht="15.75">
      <c r="A416" s="25" t="s">
        <v>385</v>
      </c>
      <c r="B416" s="1" t="s">
        <v>564</v>
      </c>
      <c r="C416" s="2" t="s">
        <v>278</v>
      </c>
      <c r="D416" s="2">
        <v>610</v>
      </c>
      <c r="E416" s="61"/>
      <c r="F416" s="61">
        <f>3463580+272166+421417</f>
        <v>4157163</v>
      </c>
      <c r="G416" s="61">
        <f t="shared" si="24"/>
        <v>4157163</v>
      </c>
    </row>
    <row r="417" spans="1:7" s="4" customFormat="1" ht="31.5">
      <c r="A417" s="26" t="s">
        <v>223</v>
      </c>
      <c r="B417" s="1" t="s">
        <v>564</v>
      </c>
      <c r="C417" s="2" t="s">
        <v>463</v>
      </c>
      <c r="D417" s="2"/>
      <c r="E417" s="51">
        <f>E418</f>
        <v>158413068</v>
      </c>
      <c r="F417" s="51">
        <f>F418</f>
        <v>388031</v>
      </c>
      <c r="G417" s="61">
        <f t="shared" si="24"/>
        <v>158801099</v>
      </c>
    </row>
    <row r="418" spans="1:7" s="5" customFormat="1" ht="31.5">
      <c r="A418" s="25" t="s">
        <v>392</v>
      </c>
      <c r="B418" s="1" t="s">
        <v>564</v>
      </c>
      <c r="C418" s="2" t="s">
        <v>463</v>
      </c>
      <c r="D418" s="2">
        <v>600</v>
      </c>
      <c r="E418" s="51">
        <f>E419</f>
        <v>158413068</v>
      </c>
      <c r="F418" s="51">
        <f>F419</f>
        <v>388031</v>
      </c>
      <c r="G418" s="61">
        <f t="shared" si="24"/>
        <v>158801099</v>
      </c>
    </row>
    <row r="419" spans="1:7" s="4" customFormat="1" ht="15.75">
      <c r="A419" s="25" t="s">
        <v>385</v>
      </c>
      <c r="B419" s="1" t="s">
        <v>564</v>
      </c>
      <c r="C419" s="2" t="s">
        <v>463</v>
      </c>
      <c r="D419" s="2">
        <v>610</v>
      </c>
      <c r="E419" s="51">
        <v>158413068</v>
      </c>
      <c r="F419" s="51">
        <f>-11282649-4151363-1253198+16687210-631100+419131+100000+500000</f>
        <v>388031</v>
      </c>
      <c r="G419" s="61">
        <f t="shared" si="24"/>
        <v>158801099</v>
      </c>
    </row>
    <row r="420" spans="1:7" s="4" customFormat="1" ht="31.5">
      <c r="A420" s="26" t="s">
        <v>224</v>
      </c>
      <c r="B420" s="1" t="s">
        <v>564</v>
      </c>
      <c r="C420" s="2" t="s">
        <v>464</v>
      </c>
      <c r="D420" s="2"/>
      <c r="E420" s="51">
        <f>E421</f>
        <v>11730000</v>
      </c>
      <c r="F420" s="51">
        <f>F421</f>
        <v>90000</v>
      </c>
      <c r="G420" s="61">
        <f t="shared" si="24"/>
        <v>11820000</v>
      </c>
    </row>
    <row r="421" spans="1:7" s="5" customFormat="1" ht="31.5">
      <c r="A421" s="25" t="s">
        <v>392</v>
      </c>
      <c r="B421" s="1" t="s">
        <v>564</v>
      </c>
      <c r="C421" s="2" t="s">
        <v>464</v>
      </c>
      <c r="D421" s="2">
        <v>600</v>
      </c>
      <c r="E421" s="51">
        <f>E422</f>
        <v>11730000</v>
      </c>
      <c r="F421" s="51">
        <f>F422</f>
        <v>90000</v>
      </c>
      <c r="G421" s="61">
        <f t="shared" si="24"/>
        <v>11820000</v>
      </c>
    </row>
    <row r="422" spans="1:7" ht="15.75">
      <c r="A422" s="25" t="s">
        <v>385</v>
      </c>
      <c r="B422" s="1" t="s">
        <v>564</v>
      </c>
      <c r="C422" s="2" t="s">
        <v>464</v>
      </c>
      <c r="D422" s="2">
        <v>610</v>
      </c>
      <c r="E422" s="51">
        <v>11730000</v>
      </c>
      <c r="F422" s="51">
        <v>90000</v>
      </c>
      <c r="G422" s="61">
        <f t="shared" si="24"/>
        <v>11820000</v>
      </c>
    </row>
    <row r="423" spans="1:7" ht="47.25">
      <c r="A423" s="25" t="s">
        <v>267</v>
      </c>
      <c r="B423" s="1" t="s">
        <v>564</v>
      </c>
      <c r="C423" s="2" t="s">
        <v>346</v>
      </c>
      <c r="D423" s="2"/>
      <c r="E423" s="51">
        <f>E424</f>
        <v>6500000</v>
      </c>
      <c r="F423" s="51">
        <f>F424</f>
        <v>0</v>
      </c>
      <c r="G423" s="61">
        <f t="shared" si="24"/>
        <v>6500000</v>
      </c>
    </row>
    <row r="424" spans="1:7" ht="31.5">
      <c r="A424" s="25" t="s">
        <v>390</v>
      </c>
      <c r="B424" s="1" t="s">
        <v>564</v>
      </c>
      <c r="C424" s="2" t="s">
        <v>346</v>
      </c>
      <c r="D424" s="2">
        <v>400</v>
      </c>
      <c r="E424" s="51">
        <f>E425</f>
        <v>6500000</v>
      </c>
      <c r="F424" s="51">
        <f>F425</f>
        <v>0</v>
      </c>
      <c r="G424" s="61">
        <f t="shared" si="24"/>
        <v>6500000</v>
      </c>
    </row>
    <row r="425" spans="1:7" ht="15.75">
      <c r="A425" s="25" t="s">
        <v>391</v>
      </c>
      <c r="B425" s="1" t="s">
        <v>564</v>
      </c>
      <c r="C425" s="2" t="s">
        <v>346</v>
      </c>
      <c r="D425" s="2">
        <v>410</v>
      </c>
      <c r="E425" s="51">
        <v>6500000</v>
      </c>
      <c r="F425" s="51"/>
      <c r="G425" s="61">
        <f t="shared" si="24"/>
        <v>6500000</v>
      </c>
    </row>
    <row r="426" spans="1:7" s="29" customFormat="1" ht="47.25">
      <c r="A426" s="25" t="s">
        <v>343</v>
      </c>
      <c r="B426" s="1" t="s">
        <v>564</v>
      </c>
      <c r="C426" s="2" t="s">
        <v>465</v>
      </c>
      <c r="D426" s="2"/>
      <c r="E426" s="51">
        <f>E427</f>
        <v>43700000</v>
      </c>
      <c r="F426" s="51">
        <f>F427</f>
        <v>0</v>
      </c>
      <c r="G426" s="61">
        <f t="shared" si="24"/>
        <v>43700000</v>
      </c>
    </row>
    <row r="427" spans="1:7" s="29" customFormat="1" ht="47.25">
      <c r="A427" s="25" t="s">
        <v>171</v>
      </c>
      <c r="B427" s="1" t="s">
        <v>564</v>
      </c>
      <c r="C427" s="2" t="s">
        <v>466</v>
      </c>
      <c r="D427" s="2"/>
      <c r="E427" s="51">
        <f>SUM(E429:E430)</f>
        <v>43700000</v>
      </c>
      <c r="F427" s="51">
        <f>SUM(F429:F430)</f>
        <v>0</v>
      </c>
      <c r="G427" s="61">
        <f t="shared" si="24"/>
        <v>43700000</v>
      </c>
    </row>
    <row r="428" spans="1:7" s="5" customFormat="1" ht="31.5">
      <c r="A428" s="25" t="s">
        <v>392</v>
      </c>
      <c r="B428" s="1" t="s">
        <v>564</v>
      </c>
      <c r="C428" s="2" t="s">
        <v>466</v>
      </c>
      <c r="D428" s="2">
        <v>600</v>
      </c>
      <c r="E428" s="51">
        <f>E429+E430</f>
        <v>43700000</v>
      </c>
      <c r="F428" s="51">
        <f>F429+F430</f>
        <v>0</v>
      </c>
      <c r="G428" s="61">
        <f t="shared" si="24"/>
        <v>43700000</v>
      </c>
    </row>
    <row r="429" spans="1:7" s="5" customFormat="1" ht="15.75">
      <c r="A429" s="25" t="s">
        <v>385</v>
      </c>
      <c r="B429" s="1" t="s">
        <v>564</v>
      </c>
      <c r="C429" s="2" t="s">
        <v>466</v>
      </c>
      <c r="D429" s="2">
        <v>610</v>
      </c>
      <c r="E429" s="51">
        <v>42000000</v>
      </c>
      <c r="F429" s="51"/>
      <c r="G429" s="61">
        <f t="shared" si="24"/>
        <v>42000000</v>
      </c>
    </row>
    <row r="430" spans="1:7" s="29" customFormat="1" ht="47.25">
      <c r="A430" s="25" t="s">
        <v>393</v>
      </c>
      <c r="B430" s="1" t="s">
        <v>564</v>
      </c>
      <c r="C430" s="2" t="s">
        <v>466</v>
      </c>
      <c r="D430" s="2">
        <v>630</v>
      </c>
      <c r="E430" s="51">
        <v>1700000</v>
      </c>
      <c r="F430" s="51"/>
      <c r="G430" s="61">
        <f t="shared" si="24"/>
        <v>1700000</v>
      </c>
    </row>
    <row r="431" spans="1:7" s="29" customFormat="1" ht="15.75">
      <c r="A431" s="27" t="s">
        <v>411</v>
      </c>
      <c r="B431" s="1" t="s">
        <v>564</v>
      </c>
      <c r="C431" s="2" t="s">
        <v>209</v>
      </c>
      <c r="D431" s="12"/>
      <c r="E431" s="51">
        <f aca="true" t="shared" si="25" ref="E431:F434">E432</f>
        <v>0</v>
      </c>
      <c r="F431" s="51">
        <f t="shared" si="25"/>
        <v>862005</v>
      </c>
      <c r="G431" s="61">
        <f>SUM(E431:F431)</f>
        <v>862005</v>
      </c>
    </row>
    <row r="432" spans="1:7" s="29" customFormat="1" ht="47.25">
      <c r="A432" s="25" t="s">
        <v>604</v>
      </c>
      <c r="B432" s="1" t="s">
        <v>564</v>
      </c>
      <c r="C432" s="2" t="s">
        <v>583</v>
      </c>
      <c r="D432" s="2"/>
      <c r="E432" s="51">
        <f t="shared" si="25"/>
        <v>0</v>
      </c>
      <c r="F432" s="51">
        <f t="shared" si="25"/>
        <v>862005</v>
      </c>
      <c r="G432" s="61">
        <f>SUM(E432:F432)</f>
        <v>862005</v>
      </c>
    </row>
    <row r="433" spans="1:7" s="29" customFormat="1" ht="49.5" customHeight="1">
      <c r="A433" s="25" t="s">
        <v>279</v>
      </c>
      <c r="B433" s="1" t="s">
        <v>564</v>
      </c>
      <c r="C433" s="2" t="s">
        <v>546</v>
      </c>
      <c r="D433" s="2"/>
      <c r="E433" s="51">
        <f t="shared" si="25"/>
        <v>0</v>
      </c>
      <c r="F433" s="51">
        <f t="shared" si="25"/>
        <v>862005</v>
      </c>
      <c r="G433" s="61">
        <f>SUM(E433:F433)</f>
        <v>862005</v>
      </c>
    </row>
    <row r="434" spans="1:7" s="29" customFormat="1" ht="31.5">
      <c r="A434" s="25" t="s">
        <v>392</v>
      </c>
      <c r="B434" s="1" t="s">
        <v>564</v>
      </c>
      <c r="C434" s="2" t="s">
        <v>546</v>
      </c>
      <c r="D434" s="2">
        <v>600</v>
      </c>
      <c r="E434" s="51">
        <f t="shared" si="25"/>
        <v>0</v>
      </c>
      <c r="F434" s="51">
        <f t="shared" si="25"/>
        <v>862005</v>
      </c>
      <c r="G434" s="61">
        <f>SUM(E434:F434)</f>
        <v>862005</v>
      </c>
    </row>
    <row r="435" spans="1:7" s="29" customFormat="1" ht="15.75">
      <c r="A435" s="25" t="s">
        <v>385</v>
      </c>
      <c r="B435" s="1" t="s">
        <v>564</v>
      </c>
      <c r="C435" s="2" t="s">
        <v>546</v>
      </c>
      <c r="D435" s="2">
        <v>610</v>
      </c>
      <c r="E435" s="51"/>
      <c r="F435" s="51">
        <v>862005</v>
      </c>
      <c r="G435" s="61">
        <f>SUM(E435:F435)</f>
        <v>862005</v>
      </c>
    </row>
    <row r="436" spans="1:7" s="5" customFormat="1" ht="15.75">
      <c r="A436" s="10" t="s">
        <v>193</v>
      </c>
      <c r="B436" s="12" t="s">
        <v>192</v>
      </c>
      <c r="C436" s="16"/>
      <c r="D436" s="16"/>
      <c r="E436" s="50">
        <f>E447+E437+E459</f>
        <v>201557000</v>
      </c>
      <c r="F436" s="50">
        <f>F447+F437+F459</f>
        <v>4416214</v>
      </c>
      <c r="G436" s="60">
        <f t="shared" si="24"/>
        <v>205973214</v>
      </c>
    </row>
    <row r="437" spans="1:7" s="5" customFormat="1" ht="31.5">
      <c r="A437" s="25" t="s">
        <v>203</v>
      </c>
      <c r="B437" s="1" t="s">
        <v>192</v>
      </c>
      <c r="C437" s="2" t="s">
        <v>49</v>
      </c>
      <c r="D437" s="2"/>
      <c r="E437" s="54">
        <f>E438</f>
        <v>36600000</v>
      </c>
      <c r="F437" s="54">
        <f>F438</f>
        <v>2953454</v>
      </c>
      <c r="G437" s="61">
        <f t="shared" si="24"/>
        <v>39553454</v>
      </c>
    </row>
    <row r="438" spans="1:7" s="5" customFormat="1" ht="31.5">
      <c r="A438" s="25" t="s">
        <v>502</v>
      </c>
      <c r="B438" s="1" t="s">
        <v>192</v>
      </c>
      <c r="C438" s="2" t="s">
        <v>467</v>
      </c>
      <c r="D438" s="2"/>
      <c r="E438" s="51">
        <f>SUM(E439,E443)</f>
        <v>36600000</v>
      </c>
      <c r="F438" s="51">
        <f>SUM(F439,F443)</f>
        <v>2953454</v>
      </c>
      <c r="G438" s="61">
        <f t="shared" si="24"/>
        <v>39553454</v>
      </c>
    </row>
    <row r="439" spans="1:7" s="5" customFormat="1" ht="31.5">
      <c r="A439" s="25" t="s">
        <v>228</v>
      </c>
      <c r="B439" s="1" t="s">
        <v>192</v>
      </c>
      <c r="C439" s="2" t="s">
        <v>468</v>
      </c>
      <c r="D439" s="2"/>
      <c r="E439" s="51">
        <f>E440</f>
        <v>35550000</v>
      </c>
      <c r="F439" s="51">
        <f>F440</f>
        <v>2953454</v>
      </c>
      <c r="G439" s="61">
        <f t="shared" si="24"/>
        <v>38503454</v>
      </c>
    </row>
    <row r="440" spans="1:7" s="5" customFormat="1" ht="31.5">
      <c r="A440" s="25" t="s">
        <v>392</v>
      </c>
      <c r="B440" s="1" t="s">
        <v>192</v>
      </c>
      <c r="C440" s="2" t="s">
        <v>468</v>
      </c>
      <c r="D440" s="2">
        <v>600</v>
      </c>
      <c r="E440" s="51">
        <f>E441+E442</f>
        <v>35550000</v>
      </c>
      <c r="F440" s="51">
        <f>F441+F442</f>
        <v>2953454</v>
      </c>
      <c r="G440" s="61">
        <f t="shared" si="24"/>
        <v>38503454</v>
      </c>
    </row>
    <row r="441" spans="1:7" s="5" customFormat="1" ht="15.75">
      <c r="A441" s="25" t="s">
        <v>385</v>
      </c>
      <c r="B441" s="1" t="s">
        <v>192</v>
      </c>
      <c r="C441" s="2" t="s">
        <v>468</v>
      </c>
      <c r="D441" s="2">
        <v>610</v>
      </c>
      <c r="E441" s="51">
        <v>35300000</v>
      </c>
      <c r="F441" s="51">
        <v>2953454</v>
      </c>
      <c r="G441" s="61">
        <f t="shared" si="24"/>
        <v>38253454</v>
      </c>
    </row>
    <row r="442" spans="1:7" s="5" customFormat="1" ht="15.75">
      <c r="A442" s="25" t="s">
        <v>395</v>
      </c>
      <c r="B442" s="1" t="s">
        <v>192</v>
      </c>
      <c r="C442" s="2" t="s">
        <v>468</v>
      </c>
      <c r="D442" s="2">
        <v>620</v>
      </c>
      <c r="E442" s="51">
        <v>250000</v>
      </c>
      <c r="F442" s="51"/>
      <c r="G442" s="61">
        <f t="shared" si="24"/>
        <v>250000</v>
      </c>
    </row>
    <row r="443" spans="1:7" s="5" customFormat="1" ht="31.5">
      <c r="A443" s="25" t="s">
        <v>352</v>
      </c>
      <c r="B443" s="1" t="s">
        <v>192</v>
      </c>
      <c r="C443" s="2" t="s">
        <v>469</v>
      </c>
      <c r="D443" s="2"/>
      <c r="E443" s="51">
        <f>E444</f>
        <v>1050000</v>
      </c>
      <c r="F443" s="51">
        <f>F444</f>
        <v>0</v>
      </c>
      <c r="G443" s="61">
        <f t="shared" si="24"/>
        <v>1050000</v>
      </c>
    </row>
    <row r="444" spans="1:7" s="5" customFormat="1" ht="31.5">
      <c r="A444" s="25" t="s">
        <v>392</v>
      </c>
      <c r="B444" s="1" t="s">
        <v>192</v>
      </c>
      <c r="C444" s="2" t="s">
        <v>469</v>
      </c>
      <c r="D444" s="2">
        <v>600</v>
      </c>
      <c r="E444" s="51">
        <f>SUM(E445:E446)</f>
        <v>1050000</v>
      </c>
      <c r="F444" s="51">
        <f>SUM(F445:F446)</f>
        <v>0</v>
      </c>
      <c r="G444" s="61">
        <f t="shared" si="24"/>
        <v>1050000</v>
      </c>
    </row>
    <row r="445" spans="1:7" s="5" customFormat="1" ht="15.75">
      <c r="A445" s="25" t="s">
        <v>385</v>
      </c>
      <c r="B445" s="1" t="s">
        <v>192</v>
      </c>
      <c r="C445" s="2" t="s">
        <v>469</v>
      </c>
      <c r="D445" s="2">
        <v>610</v>
      </c>
      <c r="E445" s="51">
        <v>200000</v>
      </c>
      <c r="F445" s="51"/>
      <c r="G445" s="61">
        <f t="shared" si="24"/>
        <v>200000</v>
      </c>
    </row>
    <row r="446" spans="1:7" s="5" customFormat="1" ht="15.75">
      <c r="A446" s="25" t="s">
        <v>395</v>
      </c>
      <c r="B446" s="1" t="s">
        <v>192</v>
      </c>
      <c r="C446" s="2" t="s">
        <v>469</v>
      </c>
      <c r="D446" s="2">
        <v>620</v>
      </c>
      <c r="E446" s="51">
        <v>850000</v>
      </c>
      <c r="F446" s="51"/>
      <c r="G446" s="61">
        <f t="shared" si="24"/>
        <v>850000</v>
      </c>
    </row>
    <row r="447" spans="1:7" s="5" customFormat="1" ht="31.5">
      <c r="A447" s="25" t="s">
        <v>206</v>
      </c>
      <c r="B447" s="1" t="s">
        <v>192</v>
      </c>
      <c r="C447" s="2" t="s">
        <v>64</v>
      </c>
      <c r="D447" s="2"/>
      <c r="E447" s="51">
        <f>SUM(E448,E452)</f>
        <v>83050000</v>
      </c>
      <c r="F447" s="51">
        <f>SUM(F448,F452)</f>
        <v>901760</v>
      </c>
      <c r="G447" s="61">
        <f t="shared" si="24"/>
        <v>83951760</v>
      </c>
    </row>
    <row r="448" spans="1:7" s="5" customFormat="1" ht="47.25">
      <c r="A448" s="26" t="s">
        <v>505</v>
      </c>
      <c r="B448" s="1" t="s">
        <v>192</v>
      </c>
      <c r="C448" s="2" t="s">
        <v>72</v>
      </c>
      <c r="D448" s="2"/>
      <c r="E448" s="51">
        <f aca="true" t="shared" si="26" ref="E448:F450">E449</f>
        <v>50000</v>
      </c>
      <c r="F448" s="51">
        <f t="shared" si="26"/>
        <v>0</v>
      </c>
      <c r="G448" s="61">
        <f t="shared" si="24"/>
        <v>50000</v>
      </c>
    </row>
    <row r="449" spans="1:7" s="5" customFormat="1" ht="31.5">
      <c r="A449" s="26" t="s">
        <v>486</v>
      </c>
      <c r="B449" s="1" t="s">
        <v>192</v>
      </c>
      <c r="C449" s="2" t="s">
        <v>73</v>
      </c>
      <c r="D449" s="2"/>
      <c r="E449" s="51">
        <f t="shared" si="26"/>
        <v>50000</v>
      </c>
      <c r="F449" s="51">
        <f t="shared" si="26"/>
        <v>0</v>
      </c>
      <c r="G449" s="61">
        <f t="shared" si="24"/>
        <v>50000</v>
      </c>
    </row>
    <row r="450" spans="1:7" ht="31.5">
      <c r="A450" s="25" t="s">
        <v>392</v>
      </c>
      <c r="B450" s="1" t="s">
        <v>192</v>
      </c>
      <c r="C450" s="2" t="s">
        <v>73</v>
      </c>
      <c r="D450" s="2">
        <v>600</v>
      </c>
      <c r="E450" s="51">
        <f t="shared" si="26"/>
        <v>50000</v>
      </c>
      <c r="F450" s="51">
        <f t="shared" si="26"/>
        <v>0</v>
      </c>
      <c r="G450" s="61">
        <f t="shared" si="24"/>
        <v>50000</v>
      </c>
    </row>
    <row r="451" spans="1:7" s="5" customFormat="1" ht="15.75">
      <c r="A451" s="25" t="s">
        <v>385</v>
      </c>
      <c r="B451" s="1" t="s">
        <v>192</v>
      </c>
      <c r="C451" s="2" t="s">
        <v>73</v>
      </c>
      <c r="D451" s="2">
        <v>610</v>
      </c>
      <c r="E451" s="51">
        <v>50000</v>
      </c>
      <c r="F451" s="51"/>
      <c r="G451" s="61">
        <f t="shared" si="24"/>
        <v>50000</v>
      </c>
    </row>
    <row r="452" spans="1:7" s="4" customFormat="1" ht="47.25">
      <c r="A452" s="26" t="s">
        <v>185</v>
      </c>
      <c r="B452" s="1" t="s">
        <v>192</v>
      </c>
      <c r="C452" s="2" t="s">
        <v>65</v>
      </c>
      <c r="D452" s="2"/>
      <c r="E452" s="51">
        <f>SUM(E453,E456)</f>
        <v>83000000</v>
      </c>
      <c r="F452" s="51">
        <f>SUM(F453,F456)</f>
        <v>901760</v>
      </c>
      <c r="G452" s="61">
        <f t="shared" si="24"/>
        <v>83901760</v>
      </c>
    </row>
    <row r="453" spans="1:7" s="4" customFormat="1" ht="31.5">
      <c r="A453" s="26" t="s">
        <v>258</v>
      </c>
      <c r="B453" s="1" t="s">
        <v>192</v>
      </c>
      <c r="C453" s="2" t="s">
        <v>66</v>
      </c>
      <c r="D453" s="2"/>
      <c r="E453" s="51">
        <f>E454</f>
        <v>82000000</v>
      </c>
      <c r="F453" s="51">
        <f>F454</f>
        <v>901760</v>
      </c>
      <c r="G453" s="61">
        <f t="shared" si="24"/>
        <v>82901760</v>
      </c>
    </row>
    <row r="454" spans="1:7" s="4" customFormat="1" ht="31.5">
      <c r="A454" s="25" t="s">
        <v>392</v>
      </c>
      <c r="B454" s="1" t="s">
        <v>192</v>
      </c>
      <c r="C454" s="2" t="s">
        <v>66</v>
      </c>
      <c r="D454" s="2">
        <v>600</v>
      </c>
      <c r="E454" s="51">
        <f>E455</f>
        <v>82000000</v>
      </c>
      <c r="F454" s="51">
        <f>F455</f>
        <v>901760</v>
      </c>
      <c r="G454" s="61">
        <f t="shared" si="24"/>
        <v>82901760</v>
      </c>
    </row>
    <row r="455" spans="1:7" s="5" customFormat="1" ht="15.75">
      <c r="A455" s="25" t="s">
        <v>385</v>
      </c>
      <c r="B455" s="1" t="s">
        <v>192</v>
      </c>
      <c r="C455" s="2" t="s">
        <v>66</v>
      </c>
      <c r="D455" s="2">
        <v>610</v>
      </c>
      <c r="E455" s="51">
        <v>82000000</v>
      </c>
      <c r="F455" s="51">
        <v>901760</v>
      </c>
      <c r="G455" s="61">
        <f t="shared" si="24"/>
        <v>82901760</v>
      </c>
    </row>
    <row r="456" spans="1:7" s="5" customFormat="1" ht="47.25">
      <c r="A456" s="26" t="s">
        <v>172</v>
      </c>
      <c r="B456" s="1" t="s">
        <v>192</v>
      </c>
      <c r="C456" s="2" t="s">
        <v>67</v>
      </c>
      <c r="D456" s="2"/>
      <c r="E456" s="51">
        <f>E457</f>
        <v>1000000</v>
      </c>
      <c r="F456" s="51">
        <f>F457</f>
        <v>0</v>
      </c>
      <c r="G456" s="61">
        <f t="shared" si="24"/>
        <v>1000000</v>
      </c>
    </row>
    <row r="457" spans="1:7" s="4" customFormat="1" ht="31.5">
      <c r="A457" s="25" t="s">
        <v>392</v>
      </c>
      <c r="B457" s="1" t="s">
        <v>192</v>
      </c>
      <c r="C457" s="2" t="s">
        <v>67</v>
      </c>
      <c r="D457" s="2">
        <v>600</v>
      </c>
      <c r="E457" s="51">
        <f>E458</f>
        <v>1000000</v>
      </c>
      <c r="F457" s="51">
        <f>F458</f>
        <v>0</v>
      </c>
      <c r="G457" s="61">
        <f t="shared" si="24"/>
        <v>1000000</v>
      </c>
    </row>
    <row r="458" spans="1:7" s="4" customFormat="1" ht="15.75">
      <c r="A458" s="25" t="s">
        <v>385</v>
      </c>
      <c r="B458" s="1" t="s">
        <v>192</v>
      </c>
      <c r="C458" s="2" t="s">
        <v>67</v>
      </c>
      <c r="D458" s="2">
        <v>610</v>
      </c>
      <c r="E458" s="51">
        <v>1000000</v>
      </c>
      <c r="F458" s="51"/>
      <c r="G458" s="61">
        <f t="shared" si="24"/>
        <v>1000000</v>
      </c>
    </row>
    <row r="459" spans="1:7" s="4" customFormat="1" ht="31.5">
      <c r="A459" s="25" t="s">
        <v>204</v>
      </c>
      <c r="B459" s="1" t="s">
        <v>192</v>
      </c>
      <c r="C459" s="2" t="s">
        <v>51</v>
      </c>
      <c r="D459" s="2"/>
      <c r="E459" s="51">
        <f>E463+E460</f>
        <v>81907000</v>
      </c>
      <c r="F459" s="51">
        <f>F463+F460</f>
        <v>561000</v>
      </c>
      <c r="G459" s="61">
        <f t="shared" si="24"/>
        <v>82468000</v>
      </c>
    </row>
    <row r="460" spans="1:7" s="4" customFormat="1" ht="31.5">
      <c r="A460" s="35" t="s">
        <v>429</v>
      </c>
      <c r="B460" s="1" t="s">
        <v>192</v>
      </c>
      <c r="C460" s="2" t="s">
        <v>52</v>
      </c>
      <c r="D460" s="2"/>
      <c r="E460" s="51">
        <f>E461</f>
        <v>2200000</v>
      </c>
      <c r="F460" s="51">
        <f>F461</f>
        <v>-200000</v>
      </c>
      <c r="G460" s="61">
        <f t="shared" si="24"/>
        <v>2000000</v>
      </c>
    </row>
    <row r="461" spans="1:7" s="4" customFormat="1" ht="31.5">
      <c r="A461" s="25" t="s">
        <v>392</v>
      </c>
      <c r="B461" s="1" t="s">
        <v>192</v>
      </c>
      <c r="C461" s="2" t="s">
        <v>52</v>
      </c>
      <c r="D461" s="2">
        <v>600</v>
      </c>
      <c r="E461" s="51">
        <f>E462</f>
        <v>2200000</v>
      </c>
      <c r="F461" s="51">
        <f>F462</f>
        <v>-200000</v>
      </c>
      <c r="G461" s="61">
        <f t="shared" si="24"/>
        <v>2000000</v>
      </c>
    </row>
    <row r="462" spans="1:7" s="4" customFormat="1" ht="15.75">
      <c r="A462" s="25" t="s">
        <v>395</v>
      </c>
      <c r="B462" s="1" t="s">
        <v>192</v>
      </c>
      <c r="C462" s="2" t="s">
        <v>52</v>
      </c>
      <c r="D462" s="2">
        <v>620</v>
      </c>
      <c r="E462" s="51">
        <f>2000000+200000</f>
        <v>2200000</v>
      </c>
      <c r="F462" s="51">
        <v>-200000</v>
      </c>
      <c r="G462" s="61">
        <f t="shared" si="24"/>
        <v>2000000</v>
      </c>
    </row>
    <row r="463" spans="1:7" s="4" customFormat="1" ht="63">
      <c r="A463" s="25" t="s">
        <v>497</v>
      </c>
      <c r="B463" s="1" t="s">
        <v>192</v>
      </c>
      <c r="C463" s="2" t="s">
        <v>53</v>
      </c>
      <c r="D463" s="2"/>
      <c r="E463" s="51">
        <f>E464</f>
        <v>79707000</v>
      </c>
      <c r="F463" s="51">
        <f>F464</f>
        <v>761000</v>
      </c>
      <c r="G463" s="61">
        <f t="shared" si="24"/>
        <v>80468000</v>
      </c>
    </row>
    <row r="464" spans="1:7" s="4" customFormat="1" ht="31.5">
      <c r="A464" s="25" t="s">
        <v>392</v>
      </c>
      <c r="B464" s="1" t="s">
        <v>192</v>
      </c>
      <c r="C464" s="2" t="s">
        <v>53</v>
      </c>
      <c r="D464" s="2">
        <v>600</v>
      </c>
      <c r="E464" s="51">
        <f>E465+E466</f>
        <v>79707000</v>
      </c>
      <c r="F464" s="51">
        <f>F465+F466</f>
        <v>761000</v>
      </c>
      <c r="G464" s="61">
        <f t="shared" si="24"/>
        <v>80468000</v>
      </c>
    </row>
    <row r="465" spans="1:7" s="4" customFormat="1" ht="15.75">
      <c r="A465" s="25" t="s">
        <v>385</v>
      </c>
      <c r="B465" s="1" t="s">
        <v>192</v>
      </c>
      <c r="C465" s="2" t="s">
        <v>53</v>
      </c>
      <c r="D465" s="2">
        <v>610</v>
      </c>
      <c r="E465" s="51">
        <f>26500000-500000</f>
        <v>26000000</v>
      </c>
      <c r="F465" s="51"/>
      <c r="G465" s="61">
        <f t="shared" si="24"/>
        <v>26000000</v>
      </c>
    </row>
    <row r="466" spans="1:7" s="4" customFormat="1" ht="15.75">
      <c r="A466" s="25" t="s">
        <v>395</v>
      </c>
      <c r="B466" s="1" t="s">
        <v>192</v>
      </c>
      <c r="C466" s="2" t="s">
        <v>53</v>
      </c>
      <c r="D466" s="2">
        <v>620</v>
      </c>
      <c r="E466" s="51">
        <v>53707000</v>
      </c>
      <c r="F466" s="51">
        <f>200000+311000+250000</f>
        <v>761000</v>
      </c>
      <c r="G466" s="61">
        <f t="shared" si="24"/>
        <v>54468000</v>
      </c>
    </row>
    <row r="467" spans="1:7" s="4" customFormat="1" ht="15.75">
      <c r="A467" s="10" t="s">
        <v>194</v>
      </c>
      <c r="B467" s="12" t="s">
        <v>122</v>
      </c>
      <c r="C467" s="2"/>
      <c r="D467" s="2"/>
      <c r="E467" s="50">
        <f>E479+E486+E491+E468</f>
        <v>16773070</v>
      </c>
      <c r="F467" s="50">
        <f>F479+F486+F491+F468</f>
        <v>1505260</v>
      </c>
      <c r="G467" s="60">
        <f t="shared" si="24"/>
        <v>18278330</v>
      </c>
    </row>
    <row r="468" spans="1:7" s="4" customFormat="1" ht="31.5">
      <c r="A468" s="25" t="s">
        <v>203</v>
      </c>
      <c r="B468" s="1" t="s">
        <v>122</v>
      </c>
      <c r="C468" s="2" t="s">
        <v>49</v>
      </c>
      <c r="D468" s="2"/>
      <c r="E468" s="51">
        <f>E469+E470</f>
        <v>9329070</v>
      </c>
      <c r="F468" s="51">
        <f>F469+F470</f>
        <v>1505260</v>
      </c>
      <c r="G468" s="61">
        <f t="shared" si="24"/>
        <v>10834330</v>
      </c>
    </row>
    <row r="469" spans="1:7" s="4" customFormat="1" ht="31.5">
      <c r="A469" s="25" t="s">
        <v>501</v>
      </c>
      <c r="B469" s="1" t="s">
        <v>122</v>
      </c>
      <c r="C469" s="2" t="s">
        <v>471</v>
      </c>
      <c r="D469" s="2"/>
      <c r="E469" s="51">
        <f>SUM(E473)</f>
        <v>9329070</v>
      </c>
      <c r="F469" s="51">
        <f>SUM(F473)</f>
        <v>0</v>
      </c>
      <c r="G469" s="61">
        <f t="shared" si="24"/>
        <v>9329070</v>
      </c>
    </row>
    <row r="470" spans="1:7" s="4" customFormat="1" ht="47.25">
      <c r="A470" s="25" t="s">
        <v>315</v>
      </c>
      <c r="B470" s="1" t="s">
        <v>122</v>
      </c>
      <c r="C470" s="2" t="s">
        <v>314</v>
      </c>
      <c r="D470" s="2"/>
      <c r="E470" s="51">
        <f>E471</f>
        <v>0</v>
      </c>
      <c r="F470" s="51">
        <f>F471</f>
        <v>1505260</v>
      </c>
      <c r="G470" s="61">
        <f>SUM(E470:F470)</f>
        <v>1505260</v>
      </c>
    </row>
    <row r="471" spans="1:7" s="4" customFormat="1" ht="31.5">
      <c r="A471" s="23" t="s">
        <v>211</v>
      </c>
      <c r="B471" s="1" t="s">
        <v>122</v>
      </c>
      <c r="C471" s="2" t="s">
        <v>314</v>
      </c>
      <c r="D471" s="2">
        <v>200</v>
      </c>
      <c r="E471" s="51">
        <f>E472</f>
        <v>0</v>
      </c>
      <c r="F471" s="51">
        <f>F472</f>
        <v>1505260</v>
      </c>
      <c r="G471" s="61">
        <f>SUM(E471:F471)</f>
        <v>1505260</v>
      </c>
    </row>
    <row r="472" spans="1:7" s="4" customFormat="1" ht="31.5">
      <c r="A472" s="23" t="s">
        <v>396</v>
      </c>
      <c r="B472" s="1" t="s">
        <v>122</v>
      </c>
      <c r="C472" s="2" t="s">
        <v>314</v>
      </c>
      <c r="D472" s="2">
        <v>240</v>
      </c>
      <c r="E472" s="51"/>
      <c r="F472" s="51">
        <v>1505260</v>
      </c>
      <c r="G472" s="61">
        <f>SUM(E472:F472)</f>
        <v>1505260</v>
      </c>
    </row>
    <row r="473" spans="1:7" s="4" customFormat="1" ht="31.5">
      <c r="A473" s="25" t="s">
        <v>168</v>
      </c>
      <c r="B473" s="1" t="s">
        <v>122</v>
      </c>
      <c r="C473" s="2" t="s">
        <v>472</v>
      </c>
      <c r="D473" s="2"/>
      <c r="E473" s="51">
        <f>E474+E476</f>
        <v>9329070</v>
      </c>
      <c r="F473" s="51">
        <f>F474+F476</f>
        <v>0</v>
      </c>
      <c r="G473" s="61">
        <f t="shared" si="24"/>
        <v>9329070</v>
      </c>
    </row>
    <row r="474" spans="1:7" s="4" customFormat="1" ht="31.5">
      <c r="A474" s="23" t="s">
        <v>211</v>
      </c>
      <c r="B474" s="1" t="s">
        <v>122</v>
      </c>
      <c r="C474" s="2" t="s">
        <v>472</v>
      </c>
      <c r="D474" s="2">
        <v>200</v>
      </c>
      <c r="E474" s="51">
        <f>E475</f>
        <v>5132365</v>
      </c>
      <c r="F474" s="51">
        <f>F475</f>
        <v>203070</v>
      </c>
      <c r="G474" s="61">
        <f t="shared" si="24"/>
        <v>5335435</v>
      </c>
    </row>
    <row r="475" spans="1:7" s="4" customFormat="1" ht="31.5">
      <c r="A475" s="23" t="s">
        <v>396</v>
      </c>
      <c r="B475" s="1" t="s">
        <v>122</v>
      </c>
      <c r="C475" s="2" t="s">
        <v>472</v>
      </c>
      <c r="D475" s="2">
        <v>240</v>
      </c>
      <c r="E475" s="54">
        <v>5132365</v>
      </c>
      <c r="F475" s="54">
        <f>-150000+353070</f>
        <v>203070</v>
      </c>
      <c r="G475" s="61">
        <f t="shared" si="24"/>
        <v>5335435</v>
      </c>
    </row>
    <row r="476" spans="1:7" s="4" customFormat="1" ht="31.5">
      <c r="A476" s="25" t="s">
        <v>392</v>
      </c>
      <c r="B476" s="1" t="s">
        <v>122</v>
      </c>
      <c r="C476" s="2" t="s">
        <v>472</v>
      </c>
      <c r="D476" s="2">
        <v>600</v>
      </c>
      <c r="E476" s="54">
        <f>E477+E478</f>
        <v>4196705</v>
      </c>
      <c r="F476" s="54">
        <f>F477+F478</f>
        <v>-203070</v>
      </c>
      <c r="G476" s="61">
        <f t="shared" si="24"/>
        <v>3993635</v>
      </c>
    </row>
    <row r="477" spans="1:7" s="4" customFormat="1" ht="15.75">
      <c r="A477" s="25" t="s">
        <v>385</v>
      </c>
      <c r="B477" s="1" t="s">
        <v>122</v>
      </c>
      <c r="C477" s="2" t="s">
        <v>472</v>
      </c>
      <c r="D477" s="2">
        <v>610</v>
      </c>
      <c r="E477" s="54">
        <v>2938105</v>
      </c>
      <c r="F477" s="54">
        <f>150000-353070</f>
        <v>-203070</v>
      </c>
      <c r="G477" s="61">
        <f t="shared" si="24"/>
        <v>2735035</v>
      </c>
    </row>
    <row r="478" spans="1:7" s="4" customFormat="1" ht="15.75">
      <c r="A478" s="25" t="s">
        <v>395</v>
      </c>
      <c r="B478" s="1" t="s">
        <v>122</v>
      </c>
      <c r="C478" s="2" t="s">
        <v>472</v>
      </c>
      <c r="D478" s="2">
        <v>620</v>
      </c>
      <c r="E478" s="54">
        <v>1258600</v>
      </c>
      <c r="F478" s="54"/>
      <c r="G478" s="61">
        <f t="shared" si="24"/>
        <v>1258600</v>
      </c>
    </row>
    <row r="479" spans="1:7" s="4" customFormat="1" ht="18" customHeight="1">
      <c r="A479" s="25" t="s">
        <v>166</v>
      </c>
      <c r="B479" s="1" t="s">
        <v>122</v>
      </c>
      <c r="C479" s="2" t="s">
        <v>68</v>
      </c>
      <c r="D479" s="2"/>
      <c r="E479" s="51">
        <f>SUM(E480,E483)</f>
        <v>6994000</v>
      </c>
      <c r="F479" s="51">
        <f>SUM(F480,F483)</f>
        <v>0</v>
      </c>
      <c r="G479" s="61">
        <f t="shared" si="24"/>
        <v>6994000</v>
      </c>
    </row>
    <row r="480" spans="1:7" s="4" customFormat="1" ht="31.5">
      <c r="A480" s="25" t="s">
        <v>383</v>
      </c>
      <c r="B480" s="1" t="s">
        <v>122</v>
      </c>
      <c r="C480" s="2" t="s">
        <v>69</v>
      </c>
      <c r="D480" s="2"/>
      <c r="E480" s="51">
        <f>E481</f>
        <v>600000</v>
      </c>
      <c r="F480" s="51">
        <f>F481</f>
        <v>0</v>
      </c>
      <c r="G480" s="61">
        <f t="shared" si="24"/>
        <v>600000</v>
      </c>
    </row>
    <row r="481" spans="1:7" s="4" customFormat="1" ht="31.5">
      <c r="A481" s="25" t="s">
        <v>392</v>
      </c>
      <c r="B481" s="1" t="s">
        <v>122</v>
      </c>
      <c r="C481" s="2" t="s">
        <v>69</v>
      </c>
      <c r="D481" s="2">
        <v>600</v>
      </c>
      <c r="E481" s="51">
        <f>E482</f>
        <v>600000</v>
      </c>
      <c r="F481" s="51">
        <f>F482</f>
        <v>0</v>
      </c>
      <c r="G481" s="61">
        <f t="shared" si="24"/>
        <v>600000</v>
      </c>
    </row>
    <row r="482" spans="1:7" s="4" customFormat="1" ht="15.75">
      <c r="A482" s="25" t="s">
        <v>385</v>
      </c>
      <c r="B482" s="1" t="s">
        <v>122</v>
      </c>
      <c r="C482" s="2" t="s">
        <v>69</v>
      </c>
      <c r="D482" s="2">
        <v>610</v>
      </c>
      <c r="E482" s="54">
        <v>600000</v>
      </c>
      <c r="F482" s="54"/>
      <c r="G482" s="61">
        <f aca="true" t="shared" si="27" ref="G482:G543">SUM(E482:F482)</f>
        <v>600000</v>
      </c>
    </row>
    <row r="483" spans="1:7" s="4" customFormat="1" ht="31.5">
      <c r="A483" s="25" t="s">
        <v>384</v>
      </c>
      <c r="B483" s="1" t="s">
        <v>122</v>
      </c>
      <c r="C483" s="2" t="s">
        <v>70</v>
      </c>
      <c r="D483" s="2"/>
      <c r="E483" s="54">
        <f>E484</f>
        <v>6394000</v>
      </c>
      <c r="F483" s="54">
        <f>F484</f>
        <v>0</v>
      </c>
      <c r="G483" s="61">
        <f t="shared" si="27"/>
        <v>6394000</v>
      </c>
    </row>
    <row r="484" spans="1:7" s="4" customFormat="1" ht="31.5">
      <c r="A484" s="25" t="s">
        <v>392</v>
      </c>
      <c r="B484" s="1" t="s">
        <v>122</v>
      </c>
      <c r="C484" s="2" t="s">
        <v>70</v>
      </c>
      <c r="D484" s="2">
        <v>600</v>
      </c>
      <c r="E484" s="54">
        <f>E485</f>
        <v>6394000</v>
      </c>
      <c r="F484" s="54">
        <f>F485</f>
        <v>0</v>
      </c>
      <c r="G484" s="61">
        <f t="shared" si="27"/>
        <v>6394000</v>
      </c>
    </row>
    <row r="485" spans="1:7" s="4" customFormat="1" ht="15.75">
      <c r="A485" s="25" t="s">
        <v>385</v>
      </c>
      <c r="B485" s="1" t="s">
        <v>122</v>
      </c>
      <c r="C485" s="2" t="s">
        <v>70</v>
      </c>
      <c r="D485" s="2">
        <v>610</v>
      </c>
      <c r="E485" s="54">
        <v>6394000</v>
      </c>
      <c r="F485" s="54"/>
      <c r="G485" s="61">
        <f t="shared" si="27"/>
        <v>6394000</v>
      </c>
    </row>
    <row r="486" spans="1:7" s="4" customFormat="1" ht="31.5">
      <c r="A486" s="25" t="s">
        <v>198</v>
      </c>
      <c r="B486" s="1" t="s">
        <v>122</v>
      </c>
      <c r="C486" s="2" t="s">
        <v>6</v>
      </c>
      <c r="D486" s="2"/>
      <c r="E486" s="51">
        <f>E487</f>
        <v>300000</v>
      </c>
      <c r="F486" s="51">
        <f>F487</f>
        <v>0</v>
      </c>
      <c r="G486" s="61">
        <f t="shared" si="27"/>
        <v>300000</v>
      </c>
    </row>
    <row r="487" spans="1:7" s="5" customFormat="1" ht="15.75">
      <c r="A487" s="27" t="s">
        <v>524</v>
      </c>
      <c r="B487" s="1" t="s">
        <v>122</v>
      </c>
      <c r="C487" s="2" t="s">
        <v>7</v>
      </c>
      <c r="D487" s="2"/>
      <c r="E487" s="51">
        <f>E488</f>
        <v>300000</v>
      </c>
      <c r="F487" s="51">
        <f>F488</f>
        <v>0</v>
      </c>
      <c r="G487" s="61">
        <f t="shared" si="27"/>
        <v>300000</v>
      </c>
    </row>
    <row r="488" spans="1:7" s="4" customFormat="1" ht="78.75">
      <c r="A488" s="25" t="s">
        <v>493</v>
      </c>
      <c r="B488" s="1" t="s">
        <v>122</v>
      </c>
      <c r="C488" s="2" t="s">
        <v>84</v>
      </c>
      <c r="D488" s="2"/>
      <c r="E488" s="51">
        <f>SUM(E489)</f>
        <v>300000</v>
      </c>
      <c r="F488" s="51">
        <f>SUM(F489)</f>
        <v>0</v>
      </c>
      <c r="G488" s="61">
        <f t="shared" si="27"/>
        <v>300000</v>
      </c>
    </row>
    <row r="489" spans="1:7" s="4" customFormat="1" ht="31.5">
      <c r="A489" s="25" t="s">
        <v>392</v>
      </c>
      <c r="B489" s="1" t="s">
        <v>122</v>
      </c>
      <c r="C489" s="2" t="s">
        <v>84</v>
      </c>
      <c r="D489" s="2">
        <v>600</v>
      </c>
      <c r="E489" s="51">
        <f>E490</f>
        <v>300000</v>
      </c>
      <c r="F489" s="51">
        <f>F490</f>
        <v>0</v>
      </c>
      <c r="G489" s="61">
        <f t="shared" si="27"/>
        <v>300000</v>
      </c>
    </row>
    <row r="490" spans="1:7" s="5" customFormat="1" ht="15.75">
      <c r="A490" s="25" t="s">
        <v>385</v>
      </c>
      <c r="B490" s="1" t="s">
        <v>122</v>
      </c>
      <c r="C490" s="2" t="s">
        <v>84</v>
      </c>
      <c r="D490" s="2">
        <v>610</v>
      </c>
      <c r="E490" s="51">
        <v>300000</v>
      </c>
      <c r="F490" s="51"/>
      <c r="G490" s="61">
        <f t="shared" si="27"/>
        <v>300000</v>
      </c>
    </row>
    <row r="491" spans="1:7" s="4" customFormat="1" ht="47.25">
      <c r="A491" s="25" t="s">
        <v>196</v>
      </c>
      <c r="B491" s="1" t="s">
        <v>122</v>
      </c>
      <c r="C491" s="2" t="s">
        <v>570</v>
      </c>
      <c r="D491" s="2"/>
      <c r="E491" s="51">
        <f aca="true" t="shared" si="28" ref="E491:F494">E492</f>
        <v>150000</v>
      </c>
      <c r="F491" s="51">
        <f t="shared" si="28"/>
        <v>0</v>
      </c>
      <c r="G491" s="61">
        <f t="shared" si="27"/>
        <v>150000</v>
      </c>
    </row>
    <row r="492" spans="1:7" s="4" customFormat="1" ht="47.25">
      <c r="A492" s="26" t="s">
        <v>162</v>
      </c>
      <c r="B492" s="1" t="s">
        <v>122</v>
      </c>
      <c r="C492" s="2" t="s">
        <v>574</v>
      </c>
      <c r="D492" s="2"/>
      <c r="E492" s="51">
        <f t="shared" si="28"/>
        <v>150000</v>
      </c>
      <c r="F492" s="51">
        <f t="shared" si="28"/>
        <v>0</v>
      </c>
      <c r="G492" s="61">
        <f t="shared" si="27"/>
        <v>150000</v>
      </c>
    </row>
    <row r="493" spans="1:7" s="4" customFormat="1" ht="31.5">
      <c r="A493" s="26" t="s">
        <v>375</v>
      </c>
      <c r="B493" s="1" t="s">
        <v>122</v>
      </c>
      <c r="C493" s="2" t="s">
        <v>71</v>
      </c>
      <c r="D493" s="2"/>
      <c r="E493" s="51">
        <f t="shared" si="28"/>
        <v>150000</v>
      </c>
      <c r="F493" s="51">
        <f t="shared" si="28"/>
        <v>0</v>
      </c>
      <c r="G493" s="61">
        <f t="shared" si="27"/>
        <v>150000</v>
      </c>
    </row>
    <row r="494" spans="1:7" s="5" customFormat="1" ht="31.5">
      <c r="A494" s="25" t="s">
        <v>392</v>
      </c>
      <c r="B494" s="1" t="s">
        <v>122</v>
      </c>
      <c r="C494" s="2" t="s">
        <v>71</v>
      </c>
      <c r="D494" s="2">
        <v>600</v>
      </c>
      <c r="E494" s="51">
        <f t="shared" si="28"/>
        <v>150000</v>
      </c>
      <c r="F494" s="51">
        <f t="shared" si="28"/>
        <v>0</v>
      </c>
      <c r="G494" s="61">
        <f t="shared" si="27"/>
        <v>150000</v>
      </c>
    </row>
    <row r="495" spans="1:7" s="4" customFormat="1" ht="15.75">
      <c r="A495" s="25" t="s">
        <v>385</v>
      </c>
      <c r="B495" s="1" t="s">
        <v>122</v>
      </c>
      <c r="C495" s="2" t="s">
        <v>71</v>
      </c>
      <c r="D495" s="2">
        <v>610</v>
      </c>
      <c r="E495" s="51">
        <v>150000</v>
      </c>
      <c r="F495" s="51"/>
      <c r="G495" s="61">
        <f t="shared" si="27"/>
        <v>150000</v>
      </c>
    </row>
    <row r="496" spans="1:7" s="5" customFormat="1" ht="15.75">
      <c r="A496" s="10" t="s">
        <v>135</v>
      </c>
      <c r="B496" s="12" t="s">
        <v>136</v>
      </c>
      <c r="C496" s="2"/>
      <c r="D496" s="2"/>
      <c r="E496" s="50">
        <f>E497</f>
        <v>56214000</v>
      </c>
      <c r="F496" s="50">
        <f>F497</f>
        <v>0</v>
      </c>
      <c r="G496" s="60">
        <f t="shared" si="27"/>
        <v>56214000</v>
      </c>
    </row>
    <row r="497" spans="1:7" s="4" customFormat="1" ht="31.5">
      <c r="A497" s="25" t="s">
        <v>203</v>
      </c>
      <c r="B497" s="1" t="s">
        <v>136</v>
      </c>
      <c r="C497" s="2" t="s">
        <v>49</v>
      </c>
      <c r="D497" s="2"/>
      <c r="E497" s="51">
        <f>SUM(E498,E502,E509)</f>
        <v>56214000</v>
      </c>
      <c r="F497" s="51">
        <f>SUM(F498,F502,F509)</f>
        <v>0</v>
      </c>
      <c r="G497" s="61">
        <f t="shared" si="27"/>
        <v>56214000</v>
      </c>
    </row>
    <row r="498" spans="1:7" s="4" customFormat="1" ht="31.5">
      <c r="A498" s="25" t="s">
        <v>501</v>
      </c>
      <c r="B498" s="1" t="s">
        <v>136</v>
      </c>
      <c r="C498" s="2" t="s">
        <v>471</v>
      </c>
      <c r="D498" s="2"/>
      <c r="E498" s="51">
        <f aca="true" t="shared" si="29" ref="E498:F500">E499</f>
        <v>2550000</v>
      </c>
      <c r="F498" s="51">
        <f t="shared" si="29"/>
        <v>0</v>
      </c>
      <c r="G498" s="61">
        <f t="shared" si="27"/>
        <v>2550000</v>
      </c>
    </row>
    <row r="499" spans="1:7" s="4" customFormat="1" ht="31.5">
      <c r="A499" s="25" t="s">
        <v>174</v>
      </c>
      <c r="B499" s="1" t="s">
        <v>136</v>
      </c>
      <c r="C499" s="2" t="s">
        <v>473</v>
      </c>
      <c r="D499" s="2"/>
      <c r="E499" s="51">
        <f t="shared" si="29"/>
        <v>2550000</v>
      </c>
      <c r="F499" s="51">
        <f t="shared" si="29"/>
        <v>0</v>
      </c>
      <c r="G499" s="61">
        <f t="shared" si="27"/>
        <v>2550000</v>
      </c>
    </row>
    <row r="500" spans="1:7" s="28" customFormat="1" ht="31.5">
      <c r="A500" s="23" t="s">
        <v>211</v>
      </c>
      <c r="B500" s="1" t="s">
        <v>136</v>
      </c>
      <c r="C500" s="2" t="s">
        <v>473</v>
      </c>
      <c r="D500" s="2">
        <v>200</v>
      </c>
      <c r="E500" s="51">
        <f t="shared" si="29"/>
        <v>2550000</v>
      </c>
      <c r="F500" s="51">
        <f t="shared" si="29"/>
        <v>0</v>
      </c>
      <c r="G500" s="61">
        <f t="shared" si="27"/>
        <v>2550000</v>
      </c>
    </row>
    <row r="501" spans="1:7" s="28" customFormat="1" ht="31.5">
      <c r="A501" s="23" t="s">
        <v>396</v>
      </c>
      <c r="B501" s="1" t="s">
        <v>136</v>
      </c>
      <c r="C501" s="2" t="s">
        <v>473</v>
      </c>
      <c r="D501" s="2">
        <v>240</v>
      </c>
      <c r="E501" s="54">
        <v>2550000</v>
      </c>
      <c r="F501" s="54"/>
      <c r="G501" s="61">
        <f t="shared" si="27"/>
        <v>2550000</v>
      </c>
    </row>
    <row r="502" spans="1:7" s="28" customFormat="1" ht="47.25">
      <c r="A502" s="26" t="s">
        <v>503</v>
      </c>
      <c r="B502" s="1" t="s">
        <v>136</v>
      </c>
      <c r="C502" s="2" t="s">
        <v>474</v>
      </c>
      <c r="D502" s="2"/>
      <c r="E502" s="51">
        <f>SUM(E503,E506)</f>
        <v>7232000</v>
      </c>
      <c r="F502" s="51">
        <f>SUM(F503,F506)</f>
        <v>-23000</v>
      </c>
      <c r="G502" s="61">
        <f t="shared" si="27"/>
        <v>7209000</v>
      </c>
    </row>
    <row r="503" spans="1:7" s="28" customFormat="1" ht="47.25">
      <c r="A503" s="26" t="s">
        <v>229</v>
      </c>
      <c r="B503" s="1" t="s">
        <v>136</v>
      </c>
      <c r="C503" s="2" t="s">
        <v>475</v>
      </c>
      <c r="D503" s="2"/>
      <c r="E503" s="54">
        <f>E504</f>
        <v>7032000</v>
      </c>
      <c r="F503" s="54">
        <f>F504</f>
        <v>0</v>
      </c>
      <c r="G503" s="61">
        <f t="shared" si="27"/>
        <v>7032000</v>
      </c>
    </row>
    <row r="504" spans="1:7" s="28" customFormat="1" ht="31.5">
      <c r="A504" s="25" t="s">
        <v>392</v>
      </c>
      <c r="B504" s="1" t="s">
        <v>136</v>
      </c>
      <c r="C504" s="2" t="s">
        <v>475</v>
      </c>
      <c r="D504" s="2">
        <v>600</v>
      </c>
      <c r="E504" s="54">
        <f>E505</f>
        <v>7032000</v>
      </c>
      <c r="F504" s="54">
        <f>F505</f>
        <v>0</v>
      </c>
      <c r="G504" s="61">
        <f t="shared" si="27"/>
        <v>7032000</v>
      </c>
    </row>
    <row r="505" spans="1:7" s="4" customFormat="1" ht="15.75">
      <c r="A505" s="25" t="s">
        <v>385</v>
      </c>
      <c r="B505" s="1" t="s">
        <v>136</v>
      </c>
      <c r="C505" s="2" t="s">
        <v>475</v>
      </c>
      <c r="D505" s="2">
        <v>610</v>
      </c>
      <c r="E505" s="54">
        <v>7032000</v>
      </c>
      <c r="F505" s="54"/>
      <c r="G505" s="61">
        <f t="shared" si="27"/>
        <v>7032000</v>
      </c>
    </row>
    <row r="506" spans="1:7" s="4" customFormat="1" ht="31.5">
      <c r="A506" s="26" t="s">
        <v>175</v>
      </c>
      <c r="B506" s="1" t="s">
        <v>136</v>
      </c>
      <c r="C506" s="2" t="s">
        <v>476</v>
      </c>
      <c r="D506" s="2"/>
      <c r="E506" s="54">
        <f>E507</f>
        <v>200000</v>
      </c>
      <c r="F506" s="54">
        <f>F507</f>
        <v>-23000</v>
      </c>
      <c r="G506" s="61">
        <f t="shared" si="27"/>
        <v>177000</v>
      </c>
    </row>
    <row r="507" spans="1:7" s="4" customFormat="1" ht="31.5">
      <c r="A507" s="25" t="s">
        <v>392</v>
      </c>
      <c r="B507" s="1" t="s">
        <v>136</v>
      </c>
      <c r="C507" s="2" t="s">
        <v>476</v>
      </c>
      <c r="D507" s="2">
        <v>600</v>
      </c>
      <c r="E507" s="54">
        <f>E508</f>
        <v>200000</v>
      </c>
      <c r="F507" s="54">
        <f>F508</f>
        <v>-23000</v>
      </c>
      <c r="G507" s="61">
        <f t="shared" si="27"/>
        <v>177000</v>
      </c>
    </row>
    <row r="508" spans="1:7" s="4" customFormat="1" ht="15.75">
      <c r="A508" s="25" t="s">
        <v>385</v>
      </c>
      <c r="B508" s="1" t="s">
        <v>136</v>
      </c>
      <c r="C508" s="2" t="s">
        <v>476</v>
      </c>
      <c r="D508" s="2">
        <v>610</v>
      </c>
      <c r="E508" s="54">
        <v>200000</v>
      </c>
      <c r="F508" s="54">
        <f>-23000</f>
        <v>-23000</v>
      </c>
      <c r="G508" s="61">
        <f t="shared" si="27"/>
        <v>177000</v>
      </c>
    </row>
    <row r="509" spans="1:7" s="4" customFormat="1" ht="31.5">
      <c r="A509" s="26" t="s">
        <v>504</v>
      </c>
      <c r="B509" s="1" t="s">
        <v>136</v>
      </c>
      <c r="C509" s="2" t="s">
        <v>477</v>
      </c>
      <c r="D509" s="2"/>
      <c r="E509" s="51">
        <f>SUM(E510,E517,E524,E527)</f>
        <v>46432000</v>
      </c>
      <c r="F509" s="51">
        <f>SUM(F510,F517,F524,F527)</f>
        <v>23000</v>
      </c>
      <c r="G509" s="61">
        <f t="shared" si="27"/>
        <v>46455000</v>
      </c>
    </row>
    <row r="510" spans="1:7" s="4" customFormat="1" ht="31.5">
      <c r="A510" s="26" t="s">
        <v>230</v>
      </c>
      <c r="B510" s="1" t="s">
        <v>136</v>
      </c>
      <c r="C510" s="2" t="s">
        <v>478</v>
      </c>
      <c r="D510" s="2"/>
      <c r="E510" s="54">
        <f>SUM(E511,E513,E515)</f>
        <v>8470000</v>
      </c>
      <c r="F510" s="54">
        <f>SUM(F511,F513,F515)</f>
        <v>23000</v>
      </c>
      <c r="G510" s="61">
        <f t="shared" si="27"/>
        <v>8493000</v>
      </c>
    </row>
    <row r="511" spans="1:7" s="4" customFormat="1" ht="78.75">
      <c r="A511" s="24" t="s">
        <v>398</v>
      </c>
      <c r="B511" s="1" t="s">
        <v>136</v>
      </c>
      <c r="C511" s="2" t="s">
        <v>478</v>
      </c>
      <c r="D511" s="1" t="s">
        <v>402</v>
      </c>
      <c r="E511" s="54">
        <f>E512</f>
        <v>7898000</v>
      </c>
      <c r="F511" s="54">
        <f>F512</f>
        <v>68800</v>
      </c>
      <c r="G511" s="61">
        <f t="shared" si="27"/>
        <v>7966800</v>
      </c>
    </row>
    <row r="512" spans="1:7" s="4" customFormat="1" ht="31.5">
      <c r="A512" s="24" t="s">
        <v>399</v>
      </c>
      <c r="B512" s="1" t="s">
        <v>136</v>
      </c>
      <c r="C512" s="2" t="s">
        <v>478</v>
      </c>
      <c r="D512" s="1" t="s">
        <v>403</v>
      </c>
      <c r="E512" s="54">
        <v>7898000</v>
      </c>
      <c r="F512" s="54">
        <f>68800</f>
        <v>68800</v>
      </c>
      <c r="G512" s="61">
        <f t="shared" si="27"/>
        <v>7966800</v>
      </c>
    </row>
    <row r="513" spans="1:7" s="4" customFormat="1" ht="31.5">
      <c r="A513" s="23" t="s">
        <v>211</v>
      </c>
      <c r="B513" s="1" t="s">
        <v>136</v>
      </c>
      <c r="C513" s="2" t="s">
        <v>478</v>
      </c>
      <c r="D513" s="1" t="s">
        <v>404</v>
      </c>
      <c r="E513" s="54">
        <f>E514</f>
        <v>564770</v>
      </c>
      <c r="F513" s="54">
        <f>F514</f>
        <v>-45800</v>
      </c>
      <c r="G513" s="61">
        <f t="shared" si="27"/>
        <v>518970</v>
      </c>
    </row>
    <row r="514" spans="1:7" s="4" customFormat="1" ht="31.5">
      <c r="A514" s="23" t="s">
        <v>396</v>
      </c>
      <c r="B514" s="1" t="s">
        <v>136</v>
      </c>
      <c r="C514" s="2" t="s">
        <v>478</v>
      </c>
      <c r="D514" s="1" t="s">
        <v>405</v>
      </c>
      <c r="E514" s="54">
        <v>564770</v>
      </c>
      <c r="F514" s="54">
        <f>23000-68800</f>
        <v>-45800</v>
      </c>
      <c r="G514" s="61">
        <f t="shared" si="27"/>
        <v>518970</v>
      </c>
    </row>
    <row r="515" spans="1:7" s="4" customFormat="1" ht="15.75">
      <c r="A515" s="23" t="s">
        <v>400</v>
      </c>
      <c r="B515" s="1" t="s">
        <v>136</v>
      </c>
      <c r="C515" s="2" t="s">
        <v>478</v>
      </c>
      <c r="D515" s="1" t="s">
        <v>406</v>
      </c>
      <c r="E515" s="54">
        <f>E516</f>
        <v>7230</v>
      </c>
      <c r="F515" s="54">
        <f>F516</f>
        <v>0</v>
      </c>
      <c r="G515" s="61">
        <f t="shared" si="27"/>
        <v>7230</v>
      </c>
    </row>
    <row r="516" spans="1:7" s="4" customFormat="1" ht="15.75">
      <c r="A516" s="23" t="s">
        <v>401</v>
      </c>
      <c r="B516" s="1" t="s">
        <v>136</v>
      </c>
      <c r="C516" s="2" t="s">
        <v>478</v>
      </c>
      <c r="D516" s="1" t="s">
        <v>407</v>
      </c>
      <c r="E516" s="54">
        <v>7230</v>
      </c>
      <c r="F516" s="54"/>
      <c r="G516" s="61">
        <f t="shared" si="27"/>
        <v>7230</v>
      </c>
    </row>
    <row r="517" spans="1:7" s="4" customFormat="1" ht="31.5">
      <c r="A517" s="26" t="s">
        <v>231</v>
      </c>
      <c r="B517" s="1" t="s">
        <v>136</v>
      </c>
      <c r="C517" s="2" t="s">
        <v>479</v>
      </c>
      <c r="D517" s="2"/>
      <c r="E517" s="54">
        <f>SUM(E518,E520,E522)</f>
        <v>37162000</v>
      </c>
      <c r="F517" s="54">
        <f>SUM(F518,F520,F522)</f>
        <v>0</v>
      </c>
      <c r="G517" s="61">
        <f t="shared" si="27"/>
        <v>37162000</v>
      </c>
    </row>
    <row r="518" spans="1:7" s="4" customFormat="1" ht="78.75">
      <c r="A518" s="24" t="s">
        <v>398</v>
      </c>
      <c r="B518" s="1" t="s">
        <v>136</v>
      </c>
      <c r="C518" s="2" t="s">
        <v>479</v>
      </c>
      <c r="D518" s="2">
        <v>100</v>
      </c>
      <c r="E518" s="54">
        <f>E519</f>
        <v>33102850</v>
      </c>
      <c r="F518" s="54">
        <f>F519</f>
        <v>0</v>
      </c>
      <c r="G518" s="61">
        <f t="shared" si="27"/>
        <v>33102850</v>
      </c>
    </row>
    <row r="519" spans="1:7" s="4" customFormat="1" ht="15.75">
      <c r="A519" s="24" t="s">
        <v>408</v>
      </c>
      <c r="B519" s="1" t="s">
        <v>136</v>
      </c>
      <c r="C519" s="2" t="s">
        <v>479</v>
      </c>
      <c r="D519" s="2">
        <v>110</v>
      </c>
      <c r="E519" s="54">
        <v>33102850</v>
      </c>
      <c r="F519" s="54"/>
      <c r="G519" s="61">
        <f t="shared" si="27"/>
        <v>33102850</v>
      </c>
    </row>
    <row r="520" spans="1:7" s="4" customFormat="1" ht="31.5">
      <c r="A520" s="23" t="s">
        <v>211</v>
      </c>
      <c r="B520" s="1" t="s">
        <v>136</v>
      </c>
      <c r="C520" s="2" t="s">
        <v>479</v>
      </c>
      <c r="D520" s="2">
        <v>200</v>
      </c>
      <c r="E520" s="54">
        <f>E521</f>
        <v>4036596</v>
      </c>
      <c r="F520" s="54">
        <f>F521</f>
        <v>0</v>
      </c>
      <c r="G520" s="61">
        <f t="shared" si="27"/>
        <v>4036596</v>
      </c>
    </row>
    <row r="521" spans="1:7" s="4" customFormat="1" ht="31.5">
      <c r="A521" s="23" t="s">
        <v>396</v>
      </c>
      <c r="B521" s="1" t="s">
        <v>136</v>
      </c>
      <c r="C521" s="2" t="s">
        <v>479</v>
      </c>
      <c r="D521" s="2">
        <v>240</v>
      </c>
      <c r="E521" s="54">
        <v>4036596</v>
      </c>
      <c r="F521" s="54"/>
      <c r="G521" s="61">
        <f t="shared" si="27"/>
        <v>4036596</v>
      </c>
    </row>
    <row r="522" spans="1:7" s="4" customFormat="1" ht="15.75">
      <c r="A522" s="23" t="s">
        <v>400</v>
      </c>
      <c r="B522" s="1" t="s">
        <v>136</v>
      </c>
      <c r="C522" s="2" t="s">
        <v>479</v>
      </c>
      <c r="D522" s="2">
        <v>800</v>
      </c>
      <c r="E522" s="54">
        <f>E523</f>
        <v>22554</v>
      </c>
      <c r="F522" s="54">
        <f>F523</f>
        <v>0</v>
      </c>
      <c r="G522" s="61">
        <f t="shared" si="27"/>
        <v>22554</v>
      </c>
    </row>
    <row r="523" spans="1:7" s="39" customFormat="1" ht="16.5">
      <c r="A523" s="23" t="s">
        <v>401</v>
      </c>
      <c r="B523" s="1" t="s">
        <v>136</v>
      </c>
      <c r="C523" s="2" t="s">
        <v>479</v>
      </c>
      <c r="D523" s="2">
        <v>850</v>
      </c>
      <c r="E523" s="56">
        <v>22554</v>
      </c>
      <c r="F523" s="56"/>
      <c r="G523" s="61">
        <f t="shared" si="27"/>
        <v>22554</v>
      </c>
    </row>
    <row r="524" spans="1:7" s="39" customFormat="1" ht="31.5">
      <c r="A524" s="26" t="s">
        <v>232</v>
      </c>
      <c r="B524" s="1" t="s">
        <v>136</v>
      </c>
      <c r="C524" s="2" t="s">
        <v>480</v>
      </c>
      <c r="D524" s="2"/>
      <c r="E524" s="54">
        <f>E525</f>
        <v>500000</v>
      </c>
      <c r="F524" s="54">
        <f>F525</f>
        <v>0</v>
      </c>
      <c r="G524" s="61">
        <f t="shared" si="27"/>
        <v>500000</v>
      </c>
    </row>
    <row r="525" spans="1:7" s="39" customFormat="1" ht="16.5">
      <c r="A525" s="25" t="s">
        <v>388</v>
      </c>
      <c r="B525" s="1" t="s">
        <v>136</v>
      </c>
      <c r="C525" s="2" t="s">
        <v>480</v>
      </c>
      <c r="D525" s="2">
        <v>300</v>
      </c>
      <c r="E525" s="51">
        <f>E526</f>
        <v>500000</v>
      </c>
      <c r="F525" s="51">
        <f>F526</f>
        <v>0</v>
      </c>
      <c r="G525" s="61">
        <f t="shared" si="27"/>
        <v>500000</v>
      </c>
    </row>
    <row r="526" spans="1:7" s="39" customFormat="1" ht="31.5">
      <c r="A526" s="25" t="s">
        <v>394</v>
      </c>
      <c r="B526" s="1" t="s">
        <v>136</v>
      </c>
      <c r="C526" s="2" t="s">
        <v>480</v>
      </c>
      <c r="D526" s="2">
        <v>330</v>
      </c>
      <c r="E526" s="54">
        <v>500000</v>
      </c>
      <c r="F526" s="54"/>
      <c r="G526" s="61">
        <f t="shared" si="27"/>
        <v>500000</v>
      </c>
    </row>
    <row r="527" spans="1:7" s="39" customFormat="1" ht="21.75" customHeight="1">
      <c r="A527" s="25" t="s">
        <v>156</v>
      </c>
      <c r="B527" s="1" t="s">
        <v>136</v>
      </c>
      <c r="C527" s="2" t="s">
        <v>481</v>
      </c>
      <c r="D527" s="2"/>
      <c r="E527" s="54">
        <f>E528</f>
        <v>300000</v>
      </c>
      <c r="F527" s="54">
        <f>F528</f>
        <v>0</v>
      </c>
      <c r="G527" s="61">
        <f t="shared" si="27"/>
        <v>300000</v>
      </c>
    </row>
    <row r="528" spans="1:7" s="39" customFormat="1" ht="31.5">
      <c r="A528" s="25" t="s">
        <v>392</v>
      </c>
      <c r="B528" s="1" t="s">
        <v>136</v>
      </c>
      <c r="C528" s="2" t="s">
        <v>481</v>
      </c>
      <c r="D528" s="2">
        <v>600</v>
      </c>
      <c r="E528" s="54">
        <f>E529</f>
        <v>300000</v>
      </c>
      <c r="F528" s="54">
        <f>F529</f>
        <v>0</v>
      </c>
      <c r="G528" s="61">
        <f t="shared" si="27"/>
        <v>300000</v>
      </c>
    </row>
    <row r="529" spans="1:7" s="39" customFormat="1" ht="16.5">
      <c r="A529" s="25" t="s">
        <v>385</v>
      </c>
      <c r="B529" s="1" t="s">
        <v>136</v>
      </c>
      <c r="C529" s="2" t="s">
        <v>481</v>
      </c>
      <c r="D529" s="2">
        <v>610</v>
      </c>
      <c r="E529" s="54">
        <v>300000</v>
      </c>
      <c r="F529" s="54"/>
      <c r="G529" s="61">
        <f t="shared" si="27"/>
        <v>300000</v>
      </c>
    </row>
    <row r="530" spans="1:7" s="39" customFormat="1" ht="16.5">
      <c r="A530" s="9" t="s">
        <v>234</v>
      </c>
      <c r="B530" s="8" t="s">
        <v>565</v>
      </c>
      <c r="C530" s="2"/>
      <c r="D530" s="2"/>
      <c r="E530" s="55">
        <f>SUM(E531,E588,E599)</f>
        <v>163377000</v>
      </c>
      <c r="F530" s="55">
        <f>SUM(F531,F588,F599)</f>
        <v>7625716</v>
      </c>
      <c r="G530" s="59">
        <f t="shared" si="27"/>
        <v>171002716</v>
      </c>
    </row>
    <row r="531" spans="1:7" s="4" customFormat="1" ht="15.75">
      <c r="A531" s="10" t="s">
        <v>123</v>
      </c>
      <c r="B531" s="12" t="s">
        <v>124</v>
      </c>
      <c r="C531" s="2"/>
      <c r="D531" s="2"/>
      <c r="E531" s="50">
        <f>E532+E578+E583</f>
        <v>146331000</v>
      </c>
      <c r="F531" s="50">
        <f>F532+F578+F583</f>
        <v>6829616</v>
      </c>
      <c r="G531" s="60">
        <f t="shared" si="27"/>
        <v>153160616</v>
      </c>
    </row>
    <row r="532" spans="1:7" s="4" customFormat="1" ht="31.5">
      <c r="A532" s="25" t="s">
        <v>206</v>
      </c>
      <c r="B532" s="1" t="s">
        <v>124</v>
      </c>
      <c r="C532" s="2" t="s">
        <v>64</v>
      </c>
      <c r="D532" s="2"/>
      <c r="E532" s="51">
        <f>SUM(E533,E558,E568)</f>
        <v>146181000</v>
      </c>
      <c r="F532" s="51">
        <f>SUM(F533,F558,F568)</f>
        <v>3529616</v>
      </c>
      <c r="G532" s="61">
        <f t="shared" si="27"/>
        <v>149710616</v>
      </c>
    </row>
    <row r="533" spans="1:7" s="5" customFormat="1" ht="47.25">
      <c r="A533" s="26" t="s">
        <v>505</v>
      </c>
      <c r="B533" s="1" t="s">
        <v>124</v>
      </c>
      <c r="C533" s="2" t="s">
        <v>72</v>
      </c>
      <c r="D533" s="2"/>
      <c r="E533" s="51">
        <f>SUM(E534,E538,E542,E546,E549,E552,E555)</f>
        <v>86411000</v>
      </c>
      <c r="F533" s="51">
        <f>SUM(F534,F538,F542,F546,F549,F552,F555)</f>
        <v>1126478</v>
      </c>
      <c r="G533" s="61">
        <f t="shared" si="27"/>
        <v>87537478</v>
      </c>
    </row>
    <row r="534" spans="1:7" s="5" customFormat="1" ht="15.75" customHeight="1">
      <c r="A534" s="26" t="s">
        <v>486</v>
      </c>
      <c r="B534" s="1" t="s">
        <v>124</v>
      </c>
      <c r="C534" s="2" t="s">
        <v>73</v>
      </c>
      <c r="D534" s="2"/>
      <c r="E534" s="51">
        <f>SUM(E535)</f>
        <v>5650000</v>
      </c>
      <c r="F534" s="51">
        <f>SUM(F535)</f>
        <v>0</v>
      </c>
      <c r="G534" s="61">
        <f t="shared" si="27"/>
        <v>5650000</v>
      </c>
    </row>
    <row r="535" spans="1:7" s="5" customFormat="1" ht="31.5">
      <c r="A535" s="25" t="s">
        <v>392</v>
      </c>
      <c r="B535" s="1" t="s">
        <v>124</v>
      </c>
      <c r="C535" s="2" t="s">
        <v>73</v>
      </c>
      <c r="D535" s="2">
        <v>600</v>
      </c>
      <c r="E535" s="51">
        <f>SUM(E536:E537)</f>
        <v>5650000</v>
      </c>
      <c r="F535" s="51">
        <f>SUM(F536:F537)</f>
        <v>0</v>
      </c>
      <c r="G535" s="61">
        <f t="shared" si="27"/>
        <v>5650000</v>
      </c>
    </row>
    <row r="536" spans="1:7" s="5" customFormat="1" ht="15.75">
      <c r="A536" s="25" t="s">
        <v>385</v>
      </c>
      <c r="B536" s="1" t="s">
        <v>124</v>
      </c>
      <c r="C536" s="2" t="s">
        <v>73</v>
      </c>
      <c r="D536" s="2">
        <v>610</v>
      </c>
      <c r="E536" s="51">
        <v>4710000</v>
      </c>
      <c r="F536" s="51"/>
      <c r="G536" s="61">
        <f t="shared" si="27"/>
        <v>4710000</v>
      </c>
    </row>
    <row r="537" spans="1:7" s="5" customFormat="1" ht="15.75">
      <c r="A537" s="25" t="s">
        <v>395</v>
      </c>
      <c r="B537" s="1" t="s">
        <v>124</v>
      </c>
      <c r="C537" s="2" t="s">
        <v>73</v>
      </c>
      <c r="D537" s="2">
        <v>620</v>
      </c>
      <c r="E537" s="51">
        <v>940000</v>
      </c>
      <c r="F537" s="51"/>
      <c r="G537" s="61">
        <f t="shared" si="27"/>
        <v>940000</v>
      </c>
    </row>
    <row r="538" spans="1:7" s="5" customFormat="1" ht="31.5">
      <c r="A538" s="26" t="s">
        <v>235</v>
      </c>
      <c r="B538" s="1" t="s">
        <v>124</v>
      </c>
      <c r="C538" s="2" t="s">
        <v>74</v>
      </c>
      <c r="D538" s="2"/>
      <c r="E538" s="51">
        <f>E539</f>
        <v>70711000</v>
      </c>
      <c r="F538" s="51">
        <f>F539</f>
        <v>4170190</v>
      </c>
      <c r="G538" s="61">
        <f t="shared" si="27"/>
        <v>74881190</v>
      </c>
    </row>
    <row r="539" spans="1:7" s="5" customFormat="1" ht="31.5">
      <c r="A539" s="25" t="s">
        <v>392</v>
      </c>
      <c r="B539" s="1" t="s">
        <v>124</v>
      </c>
      <c r="C539" s="2" t="s">
        <v>74</v>
      </c>
      <c r="D539" s="2">
        <v>600</v>
      </c>
      <c r="E539" s="51">
        <f>E540+E541</f>
        <v>70711000</v>
      </c>
      <c r="F539" s="51">
        <f>F540+F541</f>
        <v>4170190</v>
      </c>
      <c r="G539" s="61">
        <f t="shared" si="27"/>
        <v>74881190</v>
      </c>
    </row>
    <row r="540" spans="1:7" s="5" customFormat="1" ht="15.75">
      <c r="A540" s="25" t="s">
        <v>385</v>
      </c>
      <c r="B540" s="1" t="s">
        <v>124</v>
      </c>
      <c r="C540" s="2" t="s">
        <v>74</v>
      </c>
      <c r="D540" s="2">
        <v>610</v>
      </c>
      <c r="E540" s="54">
        <v>36434000</v>
      </c>
      <c r="F540" s="54">
        <f>746428+800000+315618+325400</f>
        <v>2187446</v>
      </c>
      <c r="G540" s="61">
        <f t="shared" si="27"/>
        <v>38621446</v>
      </c>
    </row>
    <row r="541" spans="1:7" s="5" customFormat="1" ht="15.75">
      <c r="A541" s="25" t="s">
        <v>395</v>
      </c>
      <c r="B541" s="1" t="s">
        <v>124</v>
      </c>
      <c r="C541" s="2" t="s">
        <v>74</v>
      </c>
      <c r="D541" s="2">
        <v>620</v>
      </c>
      <c r="E541" s="54">
        <v>34277000</v>
      </c>
      <c r="F541" s="54">
        <f>492150+1200000+290594</f>
        <v>1982744</v>
      </c>
      <c r="G541" s="61">
        <f t="shared" si="27"/>
        <v>36259744</v>
      </c>
    </row>
    <row r="542" spans="1:7" s="5" customFormat="1" ht="47.25">
      <c r="A542" s="26" t="s">
        <v>254</v>
      </c>
      <c r="B542" s="1" t="s">
        <v>124</v>
      </c>
      <c r="C542" s="2" t="s">
        <v>75</v>
      </c>
      <c r="D542" s="2"/>
      <c r="E542" s="51">
        <f>E543</f>
        <v>2250000</v>
      </c>
      <c r="F542" s="51">
        <f>F543</f>
        <v>76288</v>
      </c>
      <c r="G542" s="61">
        <f t="shared" si="27"/>
        <v>2326288</v>
      </c>
    </row>
    <row r="543" spans="1:7" s="5" customFormat="1" ht="31.5">
      <c r="A543" s="25" t="s">
        <v>392</v>
      </c>
      <c r="B543" s="1" t="s">
        <v>124</v>
      </c>
      <c r="C543" s="2" t="s">
        <v>75</v>
      </c>
      <c r="D543" s="2">
        <v>600</v>
      </c>
      <c r="E543" s="51">
        <f>E544+E545</f>
        <v>2250000</v>
      </c>
      <c r="F543" s="51">
        <f>F544+F545</f>
        <v>76288</v>
      </c>
      <c r="G543" s="61">
        <f t="shared" si="27"/>
        <v>2326288</v>
      </c>
    </row>
    <row r="544" spans="1:7" s="5" customFormat="1" ht="15.75">
      <c r="A544" s="25" t="s">
        <v>385</v>
      </c>
      <c r="B544" s="1" t="s">
        <v>124</v>
      </c>
      <c r="C544" s="2" t="s">
        <v>75</v>
      </c>
      <c r="D544" s="2">
        <v>610</v>
      </c>
      <c r="E544" s="51">
        <v>1750000</v>
      </c>
      <c r="F544" s="51">
        <f>-315618+530500+152000</f>
        <v>366882</v>
      </c>
      <c r="G544" s="61">
        <f aca="true" t="shared" si="30" ref="G544:G623">SUM(E544:F544)</f>
        <v>2116882</v>
      </c>
    </row>
    <row r="545" spans="1:7" s="5" customFormat="1" ht="15.75">
      <c r="A545" s="25" t="s">
        <v>395</v>
      </c>
      <c r="B545" s="1" t="s">
        <v>124</v>
      </c>
      <c r="C545" s="2" t="s">
        <v>75</v>
      </c>
      <c r="D545" s="2">
        <v>620</v>
      </c>
      <c r="E545" s="51">
        <v>500000</v>
      </c>
      <c r="F545" s="51">
        <f>-290594</f>
        <v>-290594</v>
      </c>
      <c r="G545" s="61">
        <f t="shared" si="30"/>
        <v>209406</v>
      </c>
    </row>
    <row r="546" spans="1:7" s="5" customFormat="1" ht="47.25">
      <c r="A546" s="26" t="s">
        <v>354</v>
      </c>
      <c r="B546" s="1" t="s">
        <v>124</v>
      </c>
      <c r="C546" s="2" t="s">
        <v>76</v>
      </c>
      <c r="D546" s="2"/>
      <c r="E546" s="51">
        <f>E547</f>
        <v>6850000</v>
      </c>
      <c r="F546" s="51">
        <f>F547</f>
        <v>-3300000</v>
      </c>
      <c r="G546" s="61">
        <f t="shared" si="30"/>
        <v>3550000</v>
      </c>
    </row>
    <row r="547" spans="1:7" s="5" customFormat="1" ht="15.75">
      <c r="A547" s="25" t="s">
        <v>400</v>
      </c>
      <c r="B547" s="1" t="s">
        <v>124</v>
      </c>
      <c r="C547" s="2" t="s">
        <v>76</v>
      </c>
      <c r="D547" s="2">
        <v>800</v>
      </c>
      <c r="E547" s="51">
        <f>E548</f>
        <v>6850000</v>
      </c>
      <c r="F547" s="51">
        <f>F548</f>
        <v>-3300000</v>
      </c>
      <c r="G547" s="61">
        <f t="shared" si="30"/>
        <v>3550000</v>
      </c>
    </row>
    <row r="548" spans="1:7" s="4" customFormat="1" ht="63">
      <c r="A548" s="25" t="s">
        <v>357</v>
      </c>
      <c r="B548" s="1" t="s">
        <v>124</v>
      </c>
      <c r="C548" s="2" t="s">
        <v>76</v>
      </c>
      <c r="D548" s="2">
        <v>810</v>
      </c>
      <c r="E548" s="51">
        <v>6850000</v>
      </c>
      <c r="F548" s="51">
        <f>-3300000</f>
        <v>-3300000</v>
      </c>
      <c r="G548" s="61">
        <f t="shared" si="30"/>
        <v>3550000</v>
      </c>
    </row>
    <row r="549" spans="1:7" s="5" customFormat="1" ht="31.5">
      <c r="A549" s="25" t="s">
        <v>360</v>
      </c>
      <c r="B549" s="1" t="s">
        <v>124</v>
      </c>
      <c r="C549" s="2" t="s">
        <v>77</v>
      </c>
      <c r="D549" s="2"/>
      <c r="E549" s="51">
        <f>E550</f>
        <v>300000</v>
      </c>
      <c r="F549" s="51">
        <f>F550</f>
        <v>0</v>
      </c>
      <c r="G549" s="61">
        <f t="shared" si="30"/>
        <v>300000</v>
      </c>
    </row>
    <row r="550" spans="1:7" s="5" customFormat="1" ht="31.5">
      <c r="A550" s="23" t="s">
        <v>211</v>
      </c>
      <c r="B550" s="1" t="s">
        <v>124</v>
      </c>
      <c r="C550" s="2" t="s">
        <v>77</v>
      </c>
      <c r="D550" s="1" t="s">
        <v>404</v>
      </c>
      <c r="E550" s="51">
        <f>E551</f>
        <v>300000</v>
      </c>
      <c r="F550" s="51">
        <f>F551</f>
        <v>0</v>
      </c>
      <c r="G550" s="61">
        <f t="shared" si="30"/>
        <v>300000</v>
      </c>
    </row>
    <row r="551" spans="1:7" s="5" customFormat="1" ht="31.5">
      <c r="A551" s="23" t="s">
        <v>396</v>
      </c>
      <c r="B551" s="1" t="s">
        <v>124</v>
      </c>
      <c r="C551" s="2" t="s">
        <v>77</v>
      </c>
      <c r="D551" s="1" t="s">
        <v>405</v>
      </c>
      <c r="E551" s="51">
        <v>300000</v>
      </c>
      <c r="F551" s="51"/>
      <c r="G551" s="61">
        <f t="shared" si="30"/>
        <v>300000</v>
      </c>
    </row>
    <row r="552" spans="1:7" s="5" customFormat="1" ht="31.5">
      <c r="A552" s="26" t="s">
        <v>212</v>
      </c>
      <c r="B552" s="1" t="s">
        <v>124</v>
      </c>
      <c r="C552" s="2" t="s">
        <v>213</v>
      </c>
      <c r="D552" s="2"/>
      <c r="E552" s="54">
        <f>E553</f>
        <v>450000</v>
      </c>
      <c r="F552" s="54">
        <f>F553</f>
        <v>0</v>
      </c>
      <c r="G552" s="61">
        <f t="shared" si="30"/>
        <v>450000</v>
      </c>
    </row>
    <row r="553" spans="1:7" s="5" customFormat="1" ht="31.5">
      <c r="A553" s="25" t="s">
        <v>392</v>
      </c>
      <c r="B553" s="1" t="s">
        <v>124</v>
      </c>
      <c r="C553" s="2" t="s">
        <v>213</v>
      </c>
      <c r="D553" s="2">
        <v>600</v>
      </c>
      <c r="E553" s="54">
        <f>E554</f>
        <v>450000</v>
      </c>
      <c r="F553" s="54">
        <f>F554</f>
        <v>0</v>
      </c>
      <c r="G553" s="61">
        <f t="shared" si="30"/>
        <v>450000</v>
      </c>
    </row>
    <row r="554" spans="1:7" s="5" customFormat="1" ht="15.75">
      <c r="A554" s="25" t="s">
        <v>385</v>
      </c>
      <c r="B554" s="1" t="s">
        <v>124</v>
      </c>
      <c r="C554" s="2" t="s">
        <v>213</v>
      </c>
      <c r="D554" s="2">
        <v>610</v>
      </c>
      <c r="E554" s="54">
        <v>450000</v>
      </c>
      <c r="F554" s="54"/>
      <c r="G554" s="61">
        <f t="shared" si="30"/>
        <v>450000</v>
      </c>
    </row>
    <row r="555" spans="1:7" s="5" customFormat="1" ht="15.75">
      <c r="A555" s="25" t="s">
        <v>288</v>
      </c>
      <c r="B555" s="1" t="s">
        <v>124</v>
      </c>
      <c r="C555" s="2" t="s">
        <v>289</v>
      </c>
      <c r="D555" s="2"/>
      <c r="E555" s="54">
        <f>E556</f>
        <v>200000</v>
      </c>
      <c r="F555" s="54">
        <f>F556</f>
        <v>180000</v>
      </c>
      <c r="G555" s="61">
        <f>SUM(E555:F555)</f>
        <v>380000</v>
      </c>
    </row>
    <row r="556" spans="1:7" s="5" customFormat="1" ht="31.5">
      <c r="A556" s="25" t="s">
        <v>392</v>
      </c>
      <c r="B556" s="1" t="s">
        <v>124</v>
      </c>
      <c r="C556" s="2" t="s">
        <v>289</v>
      </c>
      <c r="D556" s="2">
        <v>600</v>
      </c>
      <c r="E556" s="54">
        <f>E557</f>
        <v>200000</v>
      </c>
      <c r="F556" s="54">
        <f>F557</f>
        <v>180000</v>
      </c>
      <c r="G556" s="61">
        <f>SUM(E556:F556)</f>
        <v>380000</v>
      </c>
    </row>
    <row r="557" spans="1:7" s="5" customFormat="1" ht="15.75">
      <c r="A557" s="25" t="s">
        <v>385</v>
      </c>
      <c r="B557" s="1" t="s">
        <v>124</v>
      </c>
      <c r="C557" s="2" t="s">
        <v>289</v>
      </c>
      <c r="D557" s="2">
        <v>610</v>
      </c>
      <c r="E557" s="54">
        <v>200000</v>
      </c>
      <c r="F557" s="54">
        <v>180000</v>
      </c>
      <c r="G557" s="61">
        <f>SUM(E557:F557)</f>
        <v>380000</v>
      </c>
    </row>
    <row r="558" spans="1:7" s="5" customFormat="1" ht="31.5">
      <c r="A558" s="26" t="s">
        <v>506</v>
      </c>
      <c r="B558" s="1" t="s">
        <v>124</v>
      </c>
      <c r="C558" s="2" t="s">
        <v>78</v>
      </c>
      <c r="D558" s="2"/>
      <c r="E558" s="51">
        <f>SUM(E559,E565,E562)</f>
        <v>40000000</v>
      </c>
      <c r="F558" s="51">
        <f>SUM(F559,F565,F562)</f>
        <v>1570446</v>
      </c>
      <c r="G558" s="61">
        <f t="shared" si="30"/>
        <v>41570446</v>
      </c>
    </row>
    <row r="559" spans="1:7" s="5" customFormat="1" ht="31.5">
      <c r="A559" s="26" t="s">
        <v>255</v>
      </c>
      <c r="B559" s="1" t="s">
        <v>124</v>
      </c>
      <c r="C559" s="2" t="s">
        <v>79</v>
      </c>
      <c r="D559" s="2"/>
      <c r="E559" s="51">
        <f>E560</f>
        <v>39000000</v>
      </c>
      <c r="F559" s="51">
        <f>F560</f>
        <v>1633818</v>
      </c>
      <c r="G559" s="61">
        <f t="shared" si="30"/>
        <v>40633818</v>
      </c>
    </row>
    <row r="560" spans="1:7" s="5" customFormat="1" ht="31.5">
      <c r="A560" s="25" t="s">
        <v>392</v>
      </c>
      <c r="B560" s="1" t="s">
        <v>124</v>
      </c>
      <c r="C560" s="2" t="s">
        <v>79</v>
      </c>
      <c r="D560" s="2">
        <v>600</v>
      </c>
      <c r="E560" s="51">
        <f>E561</f>
        <v>39000000</v>
      </c>
      <c r="F560" s="51">
        <f>F561</f>
        <v>1633818</v>
      </c>
      <c r="G560" s="61">
        <f t="shared" si="30"/>
        <v>40633818</v>
      </c>
    </row>
    <row r="561" spans="1:7" s="5" customFormat="1" ht="15.75">
      <c r="A561" s="25" t="s">
        <v>385</v>
      </c>
      <c r="B561" s="1" t="s">
        <v>124</v>
      </c>
      <c r="C561" s="2" t="s">
        <v>79</v>
      </c>
      <c r="D561" s="2">
        <v>610</v>
      </c>
      <c r="E561" s="51">
        <v>39000000</v>
      </c>
      <c r="F561" s="51">
        <f>70000+391418+1172400</f>
        <v>1633818</v>
      </c>
      <c r="G561" s="61">
        <f t="shared" si="30"/>
        <v>40633818</v>
      </c>
    </row>
    <row r="562" spans="1:7" s="5" customFormat="1" ht="47.25">
      <c r="A562" s="25" t="s">
        <v>227</v>
      </c>
      <c r="B562" s="1" t="s">
        <v>124</v>
      </c>
      <c r="C562" s="2" t="s">
        <v>226</v>
      </c>
      <c r="D562" s="2"/>
      <c r="E562" s="51">
        <f>E563</f>
        <v>0</v>
      </c>
      <c r="F562" s="51">
        <f>F563</f>
        <v>6628</v>
      </c>
      <c r="G562" s="61">
        <f>SUM(E562:F562)</f>
        <v>6628</v>
      </c>
    </row>
    <row r="563" spans="1:7" s="5" customFormat="1" ht="31.5">
      <c r="A563" s="25" t="s">
        <v>392</v>
      </c>
      <c r="B563" s="1" t="s">
        <v>124</v>
      </c>
      <c r="C563" s="2" t="s">
        <v>226</v>
      </c>
      <c r="D563" s="2">
        <v>600</v>
      </c>
      <c r="E563" s="51">
        <f>E564</f>
        <v>0</v>
      </c>
      <c r="F563" s="51">
        <f>F564</f>
        <v>6628</v>
      </c>
      <c r="G563" s="61">
        <f>SUM(E563:F563)</f>
        <v>6628</v>
      </c>
    </row>
    <row r="564" spans="1:7" s="5" customFormat="1" ht="15.75">
      <c r="A564" s="25" t="s">
        <v>385</v>
      </c>
      <c r="B564" s="1" t="s">
        <v>124</v>
      </c>
      <c r="C564" s="2" t="s">
        <v>226</v>
      </c>
      <c r="D564" s="2">
        <v>610</v>
      </c>
      <c r="E564" s="51"/>
      <c r="F564" s="51">
        <v>6628</v>
      </c>
      <c r="G564" s="61">
        <f>SUM(E564:F564)</f>
        <v>6628</v>
      </c>
    </row>
    <row r="565" spans="1:7" s="5" customFormat="1" ht="47.25">
      <c r="A565" s="26" t="s">
        <v>257</v>
      </c>
      <c r="B565" s="1" t="s">
        <v>124</v>
      </c>
      <c r="C565" s="2" t="s">
        <v>80</v>
      </c>
      <c r="D565" s="2"/>
      <c r="E565" s="51">
        <f>E566</f>
        <v>1000000</v>
      </c>
      <c r="F565" s="51">
        <f>F566</f>
        <v>-70000</v>
      </c>
      <c r="G565" s="61">
        <f t="shared" si="30"/>
        <v>930000</v>
      </c>
    </row>
    <row r="566" spans="1:7" s="5" customFormat="1" ht="31.5">
      <c r="A566" s="25" t="s">
        <v>392</v>
      </c>
      <c r="B566" s="1" t="s">
        <v>124</v>
      </c>
      <c r="C566" s="2" t="s">
        <v>80</v>
      </c>
      <c r="D566" s="2">
        <v>600</v>
      </c>
      <c r="E566" s="51">
        <f>E567</f>
        <v>1000000</v>
      </c>
      <c r="F566" s="51">
        <f>F567</f>
        <v>-70000</v>
      </c>
      <c r="G566" s="61">
        <f t="shared" si="30"/>
        <v>930000</v>
      </c>
    </row>
    <row r="567" spans="1:7" s="5" customFormat="1" ht="15.75">
      <c r="A567" s="25" t="s">
        <v>385</v>
      </c>
      <c r="B567" s="1" t="s">
        <v>124</v>
      </c>
      <c r="C567" s="2" t="s">
        <v>80</v>
      </c>
      <c r="D567" s="2">
        <v>610</v>
      </c>
      <c r="E567" s="51">
        <v>1000000</v>
      </c>
      <c r="F567" s="51">
        <f>-70000</f>
        <v>-70000</v>
      </c>
      <c r="G567" s="61">
        <f t="shared" si="30"/>
        <v>930000</v>
      </c>
    </row>
    <row r="568" spans="1:7" s="5" customFormat="1" ht="31.5">
      <c r="A568" s="26" t="s">
        <v>507</v>
      </c>
      <c r="B568" s="1" t="s">
        <v>124</v>
      </c>
      <c r="C568" s="2" t="s">
        <v>81</v>
      </c>
      <c r="D568" s="2"/>
      <c r="E568" s="51">
        <f>SUM(E569,E572,E575)</f>
        <v>19770000</v>
      </c>
      <c r="F568" s="51">
        <f>SUM(F569,F572,F575)</f>
        <v>832692</v>
      </c>
      <c r="G568" s="61">
        <f t="shared" si="30"/>
        <v>20602692</v>
      </c>
    </row>
    <row r="569" spans="1:7" s="5" customFormat="1" ht="15.75">
      <c r="A569" s="26" t="s">
        <v>256</v>
      </c>
      <c r="B569" s="1" t="s">
        <v>124</v>
      </c>
      <c r="C569" s="2" t="s">
        <v>82</v>
      </c>
      <c r="D569" s="2"/>
      <c r="E569" s="51">
        <f>E570</f>
        <v>19000000</v>
      </c>
      <c r="F569" s="51">
        <f>F570</f>
        <v>191392</v>
      </c>
      <c r="G569" s="61">
        <f t="shared" si="30"/>
        <v>19191392</v>
      </c>
    </row>
    <row r="570" spans="1:7" s="5" customFormat="1" ht="31.5">
      <c r="A570" s="25" t="s">
        <v>392</v>
      </c>
      <c r="B570" s="1" t="s">
        <v>124</v>
      </c>
      <c r="C570" s="2" t="s">
        <v>82</v>
      </c>
      <c r="D570" s="2">
        <v>600</v>
      </c>
      <c r="E570" s="51">
        <f>E571</f>
        <v>19000000</v>
      </c>
      <c r="F570" s="51">
        <f>F571</f>
        <v>191392</v>
      </c>
      <c r="G570" s="61">
        <f t="shared" si="30"/>
        <v>19191392</v>
      </c>
    </row>
    <row r="571" spans="1:7" s="5" customFormat="1" ht="15.75">
      <c r="A571" s="25" t="s">
        <v>385</v>
      </c>
      <c r="B571" s="1" t="s">
        <v>124</v>
      </c>
      <c r="C571" s="2" t="s">
        <v>82</v>
      </c>
      <c r="D571" s="2">
        <v>610</v>
      </c>
      <c r="E571" s="51">
        <v>19000000</v>
      </c>
      <c r="F571" s="51">
        <v>191392</v>
      </c>
      <c r="G571" s="61">
        <f t="shared" si="30"/>
        <v>19191392</v>
      </c>
    </row>
    <row r="572" spans="1:7" s="5" customFormat="1" ht="47.25">
      <c r="A572" s="26" t="s">
        <v>487</v>
      </c>
      <c r="B572" s="1" t="s">
        <v>124</v>
      </c>
      <c r="C572" s="2" t="s">
        <v>83</v>
      </c>
      <c r="D572" s="2"/>
      <c r="E572" s="51">
        <f>E573</f>
        <v>220000</v>
      </c>
      <c r="F572" s="51">
        <f>F573</f>
        <v>0</v>
      </c>
      <c r="G572" s="61">
        <f t="shared" si="30"/>
        <v>220000</v>
      </c>
    </row>
    <row r="573" spans="1:7" s="5" customFormat="1" ht="31.5">
      <c r="A573" s="25" t="s">
        <v>392</v>
      </c>
      <c r="B573" s="1" t="s">
        <v>124</v>
      </c>
      <c r="C573" s="2" t="s">
        <v>83</v>
      </c>
      <c r="D573" s="2">
        <v>600</v>
      </c>
      <c r="E573" s="51">
        <f>E574</f>
        <v>220000</v>
      </c>
      <c r="F573" s="51">
        <f>F574</f>
        <v>0</v>
      </c>
      <c r="G573" s="61">
        <f t="shared" si="30"/>
        <v>220000</v>
      </c>
    </row>
    <row r="574" spans="1:7" s="5" customFormat="1" ht="15.75">
      <c r="A574" s="25" t="s">
        <v>385</v>
      </c>
      <c r="B574" s="1" t="s">
        <v>124</v>
      </c>
      <c r="C574" s="2" t="s">
        <v>83</v>
      </c>
      <c r="D574" s="2">
        <v>610</v>
      </c>
      <c r="E574" s="51">
        <v>220000</v>
      </c>
      <c r="F574" s="51"/>
      <c r="G574" s="61">
        <f t="shared" si="30"/>
        <v>220000</v>
      </c>
    </row>
    <row r="575" spans="1:7" s="5" customFormat="1" ht="47.25">
      <c r="A575" s="25" t="s">
        <v>306</v>
      </c>
      <c r="B575" s="1" t="s">
        <v>124</v>
      </c>
      <c r="C575" s="2" t="s">
        <v>307</v>
      </c>
      <c r="D575" s="2"/>
      <c r="E575" s="51">
        <f>E576</f>
        <v>550000</v>
      </c>
      <c r="F575" s="51">
        <f>F576</f>
        <v>641300</v>
      </c>
      <c r="G575" s="61">
        <f t="shared" si="30"/>
        <v>1191300</v>
      </c>
    </row>
    <row r="576" spans="1:7" s="5" customFormat="1" ht="31.5">
      <c r="A576" s="25" t="s">
        <v>390</v>
      </c>
      <c r="B576" s="1" t="s">
        <v>124</v>
      </c>
      <c r="C576" s="2" t="s">
        <v>307</v>
      </c>
      <c r="D576" s="2">
        <v>400</v>
      </c>
      <c r="E576" s="51">
        <f>E577</f>
        <v>550000</v>
      </c>
      <c r="F576" s="51">
        <f>F577</f>
        <v>641300</v>
      </c>
      <c r="G576" s="61">
        <f t="shared" si="30"/>
        <v>1191300</v>
      </c>
    </row>
    <row r="577" spans="1:7" s="5" customFormat="1" ht="15.75">
      <c r="A577" s="25" t="s">
        <v>391</v>
      </c>
      <c r="B577" s="1" t="s">
        <v>124</v>
      </c>
      <c r="C577" s="2" t="s">
        <v>307</v>
      </c>
      <c r="D577" s="2">
        <v>410</v>
      </c>
      <c r="E577" s="51">
        <v>550000</v>
      </c>
      <c r="F577" s="51">
        <v>641300</v>
      </c>
      <c r="G577" s="61">
        <f t="shared" si="30"/>
        <v>1191300</v>
      </c>
    </row>
    <row r="578" spans="1:7" s="5" customFormat="1" ht="31.5">
      <c r="A578" s="25" t="s">
        <v>198</v>
      </c>
      <c r="B578" s="1" t="s">
        <v>124</v>
      </c>
      <c r="C578" s="2" t="s">
        <v>6</v>
      </c>
      <c r="D578" s="2"/>
      <c r="E578" s="51">
        <f aca="true" t="shared" si="31" ref="E578:F581">E579</f>
        <v>150000</v>
      </c>
      <c r="F578" s="51">
        <f t="shared" si="31"/>
        <v>0</v>
      </c>
      <c r="G578" s="61">
        <f t="shared" si="30"/>
        <v>150000</v>
      </c>
    </row>
    <row r="579" spans="1:7" s="5" customFormat="1" ht="15.75">
      <c r="A579" s="27" t="s">
        <v>524</v>
      </c>
      <c r="B579" s="1" t="s">
        <v>124</v>
      </c>
      <c r="C579" s="2" t="s">
        <v>7</v>
      </c>
      <c r="D579" s="2"/>
      <c r="E579" s="51">
        <f t="shared" si="31"/>
        <v>150000</v>
      </c>
      <c r="F579" s="51">
        <f t="shared" si="31"/>
        <v>0</v>
      </c>
      <c r="G579" s="61">
        <f t="shared" si="30"/>
        <v>150000</v>
      </c>
    </row>
    <row r="580" spans="1:7" s="5" customFormat="1" ht="31.5">
      <c r="A580" s="25" t="s">
        <v>370</v>
      </c>
      <c r="B580" s="1" t="s">
        <v>124</v>
      </c>
      <c r="C580" s="2" t="s">
        <v>85</v>
      </c>
      <c r="D580" s="2"/>
      <c r="E580" s="51">
        <f t="shared" si="31"/>
        <v>150000</v>
      </c>
      <c r="F580" s="51">
        <f t="shared" si="31"/>
        <v>0</v>
      </c>
      <c r="G580" s="61">
        <f t="shared" si="30"/>
        <v>150000</v>
      </c>
    </row>
    <row r="581" spans="1:7" s="5" customFormat="1" ht="31.5">
      <c r="A581" s="25" t="s">
        <v>392</v>
      </c>
      <c r="B581" s="1" t="s">
        <v>124</v>
      </c>
      <c r="C581" s="2" t="s">
        <v>85</v>
      </c>
      <c r="D581" s="2">
        <v>600</v>
      </c>
      <c r="E581" s="51">
        <f t="shared" si="31"/>
        <v>150000</v>
      </c>
      <c r="F581" s="51">
        <f t="shared" si="31"/>
        <v>0</v>
      </c>
      <c r="G581" s="61">
        <f t="shared" si="30"/>
        <v>150000</v>
      </c>
    </row>
    <row r="582" spans="1:7" s="5" customFormat="1" ht="15.75">
      <c r="A582" s="25" t="s">
        <v>385</v>
      </c>
      <c r="B582" s="1" t="s">
        <v>124</v>
      </c>
      <c r="C582" s="2" t="s">
        <v>85</v>
      </c>
      <c r="D582" s="2">
        <v>610</v>
      </c>
      <c r="E582" s="51">
        <v>150000</v>
      </c>
      <c r="F582" s="51"/>
      <c r="G582" s="61">
        <f t="shared" si="30"/>
        <v>150000</v>
      </c>
    </row>
    <row r="583" spans="1:7" s="5" customFormat="1" ht="15.75">
      <c r="A583" s="27" t="s">
        <v>411</v>
      </c>
      <c r="B583" s="1" t="s">
        <v>124</v>
      </c>
      <c r="C583" s="2" t="s">
        <v>209</v>
      </c>
      <c r="D583" s="2"/>
      <c r="E583" s="51">
        <f aca="true" t="shared" si="32" ref="E583:F586">E584</f>
        <v>0</v>
      </c>
      <c r="F583" s="51">
        <f t="shared" si="32"/>
        <v>3300000</v>
      </c>
      <c r="G583" s="61">
        <f>SUM(E583:F583)</f>
        <v>3300000</v>
      </c>
    </row>
    <row r="584" spans="1:7" s="5" customFormat="1" ht="47.25">
      <c r="A584" s="25" t="s">
        <v>604</v>
      </c>
      <c r="B584" s="1" t="s">
        <v>124</v>
      </c>
      <c r="C584" s="2" t="s">
        <v>583</v>
      </c>
      <c r="D584" s="2"/>
      <c r="E584" s="51">
        <f t="shared" si="32"/>
        <v>0</v>
      </c>
      <c r="F584" s="51">
        <f t="shared" si="32"/>
        <v>3300000</v>
      </c>
      <c r="G584" s="61">
        <f>SUM(E584:F584)</f>
        <v>3300000</v>
      </c>
    </row>
    <row r="585" spans="1:7" s="5" customFormat="1" ht="15.75">
      <c r="A585" s="25" t="s">
        <v>111</v>
      </c>
      <c r="B585" s="1" t="s">
        <v>124</v>
      </c>
      <c r="C585" s="2" t="s">
        <v>110</v>
      </c>
      <c r="D585" s="2"/>
      <c r="E585" s="51">
        <f t="shared" si="32"/>
        <v>0</v>
      </c>
      <c r="F585" s="51">
        <f t="shared" si="32"/>
        <v>3300000</v>
      </c>
      <c r="G585" s="61">
        <f>SUM(E585:F585)</f>
        <v>3300000</v>
      </c>
    </row>
    <row r="586" spans="1:7" s="5" customFormat="1" ht="15.75">
      <c r="A586" s="25" t="s">
        <v>400</v>
      </c>
      <c r="B586" s="1" t="s">
        <v>124</v>
      </c>
      <c r="C586" s="2" t="s">
        <v>110</v>
      </c>
      <c r="D586" s="2">
        <v>800</v>
      </c>
      <c r="E586" s="51">
        <f t="shared" si="32"/>
        <v>0</v>
      </c>
      <c r="F586" s="51">
        <f t="shared" si="32"/>
        <v>3300000</v>
      </c>
      <c r="G586" s="61">
        <f>SUM(E586:F586)</f>
        <v>3300000</v>
      </c>
    </row>
    <row r="587" spans="1:7" s="5" customFormat="1" ht="63">
      <c r="A587" s="25" t="s">
        <v>357</v>
      </c>
      <c r="B587" s="1" t="s">
        <v>124</v>
      </c>
      <c r="C587" s="2" t="s">
        <v>110</v>
      </c>
      <c r="D587" s="2">
        <v>810</v>
      </c>
      <c r="E587" s="51"/>
      <c r="F587" s="51">
        <v>3300000</v>
      </c>
      <c r="G587" s="61">
        <f>SUM(E587:F587)</f>
        <v>3300000</v>
      </c>
    </row>
    <row r="588" spans="1:7" s="5" customFormat="1" ht="15.75">
      <c r="A588" s="10" t="s">
        <v>125</v>
      </c>
      <c r="B588" s="12" t="s">
        <v>126</v>
      </c>
      <c r="C588" s="15"/>
      <c r="D588" s="15"/>
      <c r="E588" s="50">
        <f>E589+E594</f>
        <v>1500000</v>
      </c>
      <c r="F588" s="50">
        <f>F589+F594</f>
        <v>0</v>
      </c>
      <c r="G588" s="60">
        <f t="shared" si="30"/>
        <v>1500000</v>
      </c>
    </row>
    <row r="589" spans="1:7" s="5" customFormat="1" ht="31.5">
      <c r="A589" s="25" t="s">
        <v>206</v>
      </c>
      <c r="B589" s="1" t="s">
        <v>126</v>
      </c>
      <c r="C589" s="2" t="s">
        <v>64</v>
      </c>
      <c r="D589" s="15"/>
      <c r="E589" s="51">
        <f aca="true" t="shared" si="33" ref="E589:F592">E590</f>
        <v>1500000</v>
      </c>
      <c r="F589" s="51">
        <f t="shared" si="33"/>
        <v>-1100000</v>
      </c>
      <c r="G589" s="61">
        <f t="shared" si="30"/>
        <v>400000</v>
      </c>
    </row>
    <row r="590" spans="1:7" s="5" customFormat="1" ht="47.25">
      <c r="A590" s="26" t="s">
        <v>505</v>
      </c>
      <c r="B590" s="1" t="s">
        <v>126</v>
      </c>
      <c r="C590" s="2" t="s">
        <v>72</v>
      </c>
      <c r="D590" s="15"/>
      <c r="E590" s="51">
        <f t="shared" si="33"/>
        <v>1500000</v>
      </c>
      <c r="F590" s="51">
        <f t="shared" si="33"/>
        <v>-1100000</v>
      </c>
      <c r="G590" s="61">
        <f t="shared" si="30"/>
        <v>400000</v>
      </c>
    </row>
    <row r="591" spans="1:7" s="5" customFormat="1" ht="31.5">
      <c r="A591" s="26" t="s">
        <v>355</v>
      </c>
      <c r="B591" s="1" t="s">
        <v>126</v>
      </c>
      <c r="C591" s="2" t="s">
        <v>86</v>
      </c>
      <c r="D591" s="2"/>
      <c r="E591" s="51">
        <f t="shared" si="33"/>
        <v>1500000</v>
      </c>
      <c r="F591" s="51">
        <f t="shared" si="33"/>
        <v>-1100000</v>
      </c>
      <c r="G591" s="61">
        <f t="shared" si="30"/>
        <v>400000</v>
      </c>
    </row>
    <row r="592" spans="1:7" s="5" customFormat="1" ht="15.75">
      <c r="A592" s="25" t="s">
        <v>400</v>
      </c>
      <c r="B592" s="1" t="s">
        <v>126</v>
      </c>
      <c r="C592" s="2" t="s">
        <v>86</v>
      </c>
      <c r="D592" s="2">
        <v>800</v>
      </c>
      <c r="E592" s="51">
        <f t="shared" si="33"/>
        <v>1500000</v>
      </c>
      <c r="F592" s="51">
        <f t="shared" si="33"/>
        <v>-1100000</v>
      </c>
      <c r="G592" s="61">
        <f t="shared" si="30"/>
        <v>400000</v>
      </c>
    </row>
    <row r="593" spans="1:7" s="5" customFormat="1" ht="63">
      <c r="A593" s="25" t="s">
        <v>357</v>
      </c>
      <c r="B593" s="1" t="s">
        <v>126</v>
      </c>
      <c r="C593" s="2" t="s">
        <v>86</v>
      </c>
      <c r="D593" s="2">
        <v>810</v>
      </c>
      <c r="E593" s="51">
        <v>1500000</v>
      </c>
      <c r="F593" s="51">
        <f>-1100000</f>
        <v>-1100000</v>
      </c>
      <c r="G593" s="61">
        <f t="shared" si="30"/>
        <v>400000</v>
      </c>
    </row>
    <row r="594" spans="1:7" s="5" customFormat="1" ht="15.75">
      <c r="A594" s="27" t="s">
        <v>411</v>
      </c>
      <c r="B594" s="1" t="s">
        <v>126</v>
      </c>
      <c r="C594" s="2" t="s">
        <v>209</v>
      </c>
      <c r="D594" s="2"/>
      <c r="E594" s="51">
        <f aca="true" t="shared" si="34" ref="E594:F597">E595</f>
        <v>0</v>
      </c>
      <c r="F594" s="51">
        <f t="shared" si="34"/>
        <v>1100000</v>
      </c>
      <c r="G594" s="61">
        <f>SUM(E594:F594)</f>
        <v>1100000</v>
      </c>
    </row>
    <row r="595" spans="1:7" s="5" customFormat="1" ht="47.25">
      <c r="A595" s="25" t="s">
        <v>604</v>
      </c>
      <c r="B595" s="1" t="s">
        <v>126</v>
      </c>
      <c r="C595" s="2" t="s">
        <v>583</v>
      </c>
      <c r="D595" s="2"/>
      <c r="E595" s="51">
        <f t="shared" si="34"/>
        <v>0</v>
      </c>
      <c r="F595" s="51">
        <f t="shared" si="34"/>
        <v>1100000</v>
      </c>
      <c r="G595" s="61">
        <f>SUM(E595:F595)</f>
        <v>1100000</v>
      </c>
    </row>
    <row r="596" spans="1:7" s="5" customFormat="1" ht="15.75">
      <c r="A596" s="25" t="s">
        <v>112</v>
      </c>
      <c r="B596" s="1" t="s">
        <v>126</v>
      </c>
      <c r="C596" s="2" t="s">
        <v>109</v>
      </c>
      <c r="D596" s="2"/>
      <c r="E596" s="51">
        <f t="shared" si="34"/>
        <v>0</v>
      </c>
      <c r="F596" s="51">
        <f t="shared" si="34"/>
        <v>1100000</v>
      </c>
      <c r="G596" s="61">
        <f>SUM(E596:F596)</f>
        <v>1100000</v>
      </c>
    </row>
    <row r="597" spans="1:7" s="5" customFormat="1" ht="15.75">
      <c r="A597" s="25" t="s">
        <v>400</v>
      </c>
      <c r="B597" s="1" t="s">
        <v>126</v>
      </c>
      <c r="C597" s="2" t="s">
        <v>109</v>
      </c>
      <c r="D597" s="2">
        <v>800</v>
      </c>
      <c r="E597" s="51">
        <f t="shared" si="34"/>
        <v>0</v>
      </c>
      <c r="F597" s="51">
        <f t="shared" si="34"/>
        <v>1100000</v>
      </c>
      <c r="G597" s="61">
        <f>SUM(E597:F597)</f>
        <v>1100000</v>
      </c>
    </row>
    <row r="598" spans="1:7" s="5" customFormat="1" ht="63">
      <c r="A598" s="25" t="s">
        <v>357</v>
      </c>
      <c r="B598" s="1" t="s">
        <v>126</v>
      </c>
      <c r="C598" s="2" t="s">
        <v>109</v>
      </c>
      <c r="D598" s="2">
        <v>810</v>
      </c>
      <c r="E598" s="51"/>
      <c r="F598" s="51">
        <f>1100000</f>
        <v>1100000</v>
      </c>
      <c r="G598" s="61">
        <f>SUM(E598:F598)</f>
        <v>1100000</v>
      </c>
    </row>
    <row r="599" spans="1:7" s="5" customFormat="1" ht="31.5">
      <c r="A599" s="10" t="s">
        <v>90</v>
      </c>
      <c r="B599" s="12" t="s">
        <v>91</v>
      </c>
      <c r="C599" s="2"/>
      <c r="D599" s="15"/>
      <c r="E599" s="50">
        <f>E600</f>
        <v>15546000</v>
      </c>
      <c r="F599" s="50">
        <f>F600</f>
        <v>796100</v>
      </c>
      <c r="G599" s="60">
        <f t="shared" si="30"/>
        <v>16342100</v>
      </c>
    </row>
    <row r="600" spans="1:7" s="5" customFormat="1" ht="31.5">
      <c r="A600" s="25" t="s">
        <v>206</v>
      </c>
      <c r="B600" s="1" t="s">
        <v>91</v>
      </c>
      <c r="C600" s="2" t="s">
        <v>64</v>
      </c>
      <c r="D600" s="15"/>
      <c r="E600" s="51">
        <f>E601</f>
        <v>15546000</v>
      </c>
      <c r="F600" s="51">
        <f>F601</f>
        <v>796100</v>
      </c>
      <c r="G600" s="61">
        <f t="shared" si="30"/>
        <v>16342100</v>
      </c>
    </row>
    <row r="601" spans="1:7" s="5" customFormat="1" ht="47.25">
      <c r="A601" s="25" t="s">
        <v>508</v>
      </c>
      <c r="B601" s="1" t="s">
        <v>91</v>
      </c>
      <c r="C601" s="2" t="s">
        <v>87</v>
      </c>
      <c r="D601" s="2"/>
      <c r="E601" s="51">
        <f>SUM(E602,E609)</f>
        <v>15546000</v>
      </c>
      <c r="F601" s="51">
        <f>SUM(F602,F609)</f>
        <v>796100</v>
      </c>
      <c r="G601" s="61">
        <f t="shared" si="30"/>
        <v>16342100</v>
      </c>
    </row>
    <row r="602" spans="1:7" s="5" customFormat="1" ht="31.5">
      <c r="A602" s="25" t="s">
        <v>259</v>
      </c>
      <c r="B602" s="1" t="s">
        <v>91</v>
      </c>
      <c r="C602" s="2" t="s">
        <v>88</v>
      </c>
      <c r="D602" s="2"/>
      <c r="E602" s="54">
        <f>SUM(E603,E605,E607)</f>
        <v>3966000</v>
      </c>
      <c r="F602" s="54">
        <f>SUM(F603,F605,F607)</f>
        <v>0</v>
      </c>
      <c r="G602" s="61">
        <f t="shared" si="30"/>
        <v>3966000</v>
      </c>
    </row>
    <row r="603" spans="1:7" s="5" customFormat="1" ht="78.75">
      <c r="A603" s="24" t="s">
        <v>398</v>
      </c>
      <c r="B603" s="1" t="s">
        <v>91</v>
      </c>
      <c r="C603" s="2" t="s">
        <v>88</v>
      </c>
      <c r="D603" s="1" t="s">
        <v>402</v>
      </c>
      <c r="E603" s="51">
        <f>E604</f>
        <v>3628000</v>
      </c>
      <c r="F603" s="51">
        <f>F604</f>
        <v>14000</v>
      </c>
      <c r="G603" s="61">
        <f t="shared" si="30"/>
        <v>3642000</v>
      </c>
    </row>
    <row r="604" spans="1:7" s="5" customFormat="1" ht="31.5">
      <c r="A604" s="24" t="s">
        <v>399</v>
      </c>
      <c r="B604" s="1" t="s">
        <v>91</v>
      </c>
      <c r="C604" s="2" t="s">
        <v>88</v>
      </c>
      <c r="D604" s="1" t="s">
        <v>403</v>
      </c>
      <c r="E604" s="51">
        <v>3628000</v>
      </c>
      <c r="F604" s="51">
        <v>14000</v>
      </c>
      <c r="G604" s="61">
        <f t="shared" si="30"/>
        <v>3642000</v>
      </c>
    </row>
    <row r="605" spans="1:7" s="5" customFormat="1" ht="31.5">
      <c r="A605" s="23" t="s">
        <v>211</v>
      </c>
      <c r="B605" s="1" t="s">
        <v>91</v>
      </c>
      <c r="C605" s="2" t="s">
        <v>88</v>
      </c>
      <c r="D605" s="1" t="s">
        <v>404</v>
      </c>
      <c r="E605" s="51">
        <f>E606</f>
        <v>335000</v>
      </c>
      <c r="F605" s="51">
        <f>F606</f>
        <v>-14000</v>
      </c>
      <c r="G605" s="61">
        <f t="shared" si="30"/>
        <v>321000</v>
      </c>
    </row>
    <row r="606" spans="1:7" s="5" customFormat="1" ht="31.5">
      <c r="A606" s="23" t="s">
        <v>396</v>
      </c>
      <c r="B606" s="1" t="s">
        <v>91</v>
      </c>
      <c r="C606" s="2" t="s">
        <v>88</v>
      </c>
      <c r="D606" s="1" t="s">
        <v>405</v>
      </c>
      <c r="E606" s="51">
        <v>335000</v>
      </c>
      <c r="F606" s="51">
        <v>-14000</v>
      </c>
      <c r="G606" s="61">
        <f t="shared" si="30"/>
        <v>321000</v>
      </c>
    </row>
    <row r="607" spans="1:7" s="5" customFormat="1" ht="15.75">
      <c r="A607" s="23" t="s">
        <v>400</v>
      </c>
      <c r="B607" s="1" t="s">
        <v>91</v>
      </c>
      <c r="C607" s="2" t="s">
        <v>88</v>
      </c>
      <c r="D607" s="1" t="s">
        <v>406</v>
      </c>
      <c r="E607" s="51">
        <f>E608</f>
        <v>3000</v>
      </c>
      <c r="F607" s="51">
        <f>F608</f>
        <v>0</v>
      </c>
      <c r="G607" s="61">
        <f t="shared" si="30"/>
        <v>3000</v>
      </c>
    </row>
    <row r="608" spans="1:7" s="5" customFormat="1" ht="15.75">
      <c r="A608" s="23" t="s">
        <v>401</v>
      </c>
      <c r="B608" s="1" t="s">
        <v>91</v>
      </c>
      <c r="C608" s="2" t="s">
        <v>88</v>
      </c>
      <c r="D608" s="1" t="s">
        <v>407</v>
      </c>
      <c r="E608" s="51">
        <v>3000</v>
      </c>
      <c r="F608" s="51"/>
      <c r="G608" s="61">
        <f t="shared" si="30"/>
        <v>3000</v>
      </c>
    </row>
    <row r="609" spans="1:7" s="5" customFormat="1" ht="31.5">
      <c r="A609" s="25" t="s">
        <v>173</v>
      </c>
      <c r="B609" s="1" t="s">
        <v>91</v>
      </c>
      <c r="C609" s="2" t="s">
        <v>89</v>
      </c>
      <c r="D609" s="2"/>
      <c r="E609" s="51">
        <f>SUM(E610,E612,E614)</f>
        <v>11580000</v>
      </c>
      <c r="F609" s="51">
        <f>SUM(F610,F612,F614)</f>
        <v>796100</v>
      </c>
      <c r="G609" s="61">
        <f t="shared" si="30"/>
        <v>12376100</v>
      </c>
    </row>
    <row r="610" spans="1:7" s="5" customFormat="1" ht="78.75">
      <c r="A610" s="24" t="s">
        <v>398</v>
      </c>
      <c r="B610" s="1" t="s">
        <v>91</v>
      </c>
      <c r="C610" s="2" t="s">
        <v>89</v>
      </c>
      <c r="D610" s="2">
        <v>100</v>
      </c>
      <c r="E610" s="51">
        <f>E611</f>
        <v>10120000</v>
      </c>
      <c r="F610" s="51">
        <f>F611</f>
        <v>545000</v>
      </c>
      <c r="G610" s="61">
        <f t="shared" si="30"/>
        <v>10665000</v>
      </c>
    </row>
    <row r="611" spans="1:7" s="5" customFormat="1" ht="15.75">
      <c r="A611" s="24" t="s">
        <v>408</v>
      </c>
      <c r="B611" s="1" t="s">
        <v>91</v>
      </c>
      <c r="C611" s="2" t="s">
        <v>89</v>
      </c>
      <c r="D611" s="2">
        <v>110</v>
      </c>
      <c r="E611" s="51">
        <v>10120000</v>
      </c>
      <c r="F611" s="51">
        <v>545000</v>
      </c>
      <c r="G611" s="61">
        <f t="shared" si="30"/>
        <v>10665000</v>
      </c>
    </row>
    <row r="612" spans="1:7" s="5" customFormat="1" ht="31.5">
      <c r="A612" s="23" t="s">
        <v>211</v>
      </c>
      <c r="B612" s="1" t="s">
        <v>91</v>
      </c>
      <c r="C612" s="2" t="s">
        <v>89</v>
      </c>
      <c r="D612" s="2">
        <v>200</v>
      </c>
      <c r="E612" s="51">
        <f>E613</f>
        <v>1457000</v>
      </c>
      <c r="F612" s="51">
        <f>F613</f>
        <v>251100</v>
      </c>
      <c r="G612" s="61">
        <f t="shared" si="30"/>
        <v>1708100</v>
      </c>
    </row>
    <row r="613" spans="1:7" s="5" customFormat="1" ht="31.5">
      <c r="A613" s="23" t="s">
        <v>396</v>
      </c>
      <c r="B613" s="1" t="s">
        <v>91</v>
      </c>
      <c r="C613" s="2" t="s">
        <v>89</v>
      </c>
      <c r="D613" s="2">
        <v>240</v>
      </c>
      <c r="E613" s="51">
        <v>1457000</v>
      </c>
      <c r="F613" s="51">
        <v>251100</v>
      </c>
      <c r="G613" s="61">
        <f t="shared" si="30"/>
        <v>1708100</v>
      </c>
    </row>
    <row r="614" spans="1:7" s="5" customFormat="1" ht="15.75">
      <c r="A614" s="23" t="s">
        <v>400</v>
      </c>
      <c r="B614" s="1" t="s">
        <v>91</v>
      </c>
      <c r="C614" s="2" t="s">
        <v>89</v>
      </c>
      <c r="D614" s="1" t="s">
        <v>406</v>
      </c>
      <c r="E614" s="51">
        <f>E615</f>
        <v>3000</v>
      </c>
      <c r="F614" s="51">
        <f>F615</f>
        <v>0</v>
      </c>
      <c r="G614" s="61">
        <f t="shared" si="30"/>
        <v>3000</v>
      </c>
    </row>
    <row r="615" spans="1:7" s="5" customFormat="1" ht="15.75">
      <c r="A615" s="23" t="s">
        <v>401</v>
      </c>
      <c r="B615" s="1" t="s">
        <v>91</v>
      </c>
      <c r="C615" s="2" t="s">
        <v>89</v>
      </c>
      <c r="D615" s="1" t="s">
        <v>407</v>
      </c>
      <c r="E615" s="51">
        <v>3000</v>
      </c>
      <c r="F615" s="51"/>
      <c r="G615" s="61">
        <f t="shared" si="30"/>
        <v>3000</v>
      </c>
    </row>
    <row r="616" spans="1:7" s="5" customFormat="1" ht="15.75">
      <c r="A616" s="9" t="s">
        <v>127</v>
      </c>
      <c r="B616" s="8" t="s">
        <v>128</v>
      </c>
      <c r="C616" s="34"/>
      <c r="D616" s="34"/>
      <c r="E616" s="55">
        <f>SUM(E617,E625,E635,E737,E758)</f>
        <v>688902426</v>
      </c>
      <c r="F616" s="55">
        <f>SUM(F617,F625,F635,F737,F758)</f>
        <v>21019386.72</v>
      </c>
      <c r="G616" s="59">
        <f t="shared" si="30"/>
        <v>709921812.72</v>
      </c>
    </row>
    <row r="617" spans="1:7" s="5" customFormat="1" ht="15.75">
      <c r="A617" s="10" t="s">
        <v>129</v>
      </c>
      <c r="B617" s="12" t="s">
        <v>130</v>
      </c>
      <c r="C617" s="2"/>
      <c r="D617" s="15"/>
      <c r="E617" s="50">
        <f aca="true" t="shared" si="35" ref="E617:F619">E618</f>
        <v>6200000</v>
      </c>
      <c r="F617" s="50">
        <f t="shared" si="35"/>
        <v>0</v>
      </c>
      <c r="G617" s="60">
        <f t="shared" si="30"/>
        <v>6200000</v>
      </c>
    </row>
    <row r="618" spans="1:7" s="5" customFormat="1" ht="31.5">
      <c r="A618" s="25" t="s">
        <v>198</v>
      </c>
      <c r="B618" s="1" t="s">
        <v>130</v>
      </c>
      <c r="C618" s="2" t="s">
        <v>6</v>
      </c>
      <c r="D618" s="2"/>
      <c r="E618" s="51">
        <f>E619</f>
        <v>6200000</v>
      </c>
      <c r="F618" s="51">
        <f t="shared" si="35"/>
        <v>0</v>
      </c>
      <c r="G618" s="61">
        <f t="shared" si="30"/>
        <v>6200000</v>
      </c>
    </row>
    <row r="619" spans="1:7" s="5" customFormat="1" ht="47.25">
      <c r="A619" s="25" t="s">
        <v>509</v>
      </c>
      <c r="B619" s="1" t="s">
        <v>130</v>
      </c>
      <c r="C619" s="2" t="s">
        <v>58</v>
      </c>
      <c r="D619" s="2"/>
      <c r="E619" s="51">
        <f t="shared" si="35"/>
        <v>6200000</v>
      </c>
      <c r="F619" s="51">
        <f t="shared" si="35"/>
        <v>0</v>
      </c>
      <c r="G619" s="61">
        <f t="shared" si="30"/>
        <v>6200000</v>
      </c>
    </row>
    <row r="620" spans="1:7" s="5" customFormat="1" ht="47.25">
      <c r="A620" s="25" t="s">
        <v>361</v>
      </c>
      <c r="B620" s="1" t="s">
        <v>130</v>
      </c>
      <c r="C620" s="2" t="s">
        <v>439</v>
      </c>
      <c r="D620" s="2"/>
      <c r="E620" s="51">
        <f>E623+E621</f>
        <v>6200000</v>
      </c>
      <c r="F620" s="51">
        <f>F623+F621</f>
        <v>0</v>
      </c>
      <c r="G620" s="61">
        <f t="shared" si="30"/>
        <v>6200000</v>
      </c>
    </row>
    <row r="621" spans="1:7" s="5" customFormat="1" ht="31.5">
      <c r="A621" s="23" t="s">
        <v>211</v>
      </c>
      <c r="B621" s="1" t="s">
        <v>130</v>
      </c>
      <c r="C621" s="2" t="s">
        <v>439</v>
      </c>
      <c r="D621" s="2">
        <v>200</v>
      </c>
      <c r="E621" s="51">
        <f>E622</f>
        <v>62000</v>
      </c>
      <c r="F621" s="51">
        <f>F622</f>
        <v>0</v>
      </c>
      <c r="G621" s="61">
        <f t="shared" si="30"/>
        <v>62000</v>
      </c>
    </row>
    <row r="622" spans="1:7" s="5" customFormat="1" ht="31.5">
      <c r="A622" s="23" t="s">
        <v>396</v>
      </c>
      <c r="B622" s="1" t="s">
        <v>130</v>
      </c>
      <c r="C622" s="2" t="s">
        <v>439</v>
      </c>
      <c r="D622" s="2">
        <v>240</v>
      </c>
      <c r="E622" s="51">
        <v>62000</v>
      </c>
      <c r="F622" s="51"/>
      <c r="G622" s="61">
        <f t="shared" si="30"/>
        <v>62000</v>
      </c>
    </row>
    <row r="623" spans="1:7" s="5" customFormat="1" ht="15.75">
      <c r="A623" s="25" t="s">
        <v>388</v>
      </c>
      <c r="B623" s="1" t="s">
        <v>130</v>
      </c>
      <c r="C623" s="2" t="s">
        <v>439</v>
      </c>
      <c r="D623" s="2">
        <v>300</v>
      </c>
      <c r="E623" s="51">
        <f>E624</f>
        <v>6138000</v>
      </c>
      <c r="F623" s="51">
        <f>F624</f>
        <v>0</v>
      </c>
      <c r="G623" s="61">
        <f t="shared" si="30"/>
        <v>6138000</v>
      </c>
    </row>
    <row r="624" spans="1:7" s="5" customFormat="1" ht="31.5">
      <c r="A624" s="25" t="s">
        <v>389</v>
      </c>
      <c r="B624" s="1" t="s">
        <v>130</v>
      </c>
      <c r="C624" s="2" t="s">
        <v>439</v>
      </c>
      <c r="D624" s="2">
        <v>310</v>
      </c>
      <c r="E624" s="51">
        <v>6138000</v>
      </c>
      <c r="F624" s="51"/>
      <c r="G624" s="61">
        <f aca="true" t="shared" si="36" ref="G624:G687">SUM(E624:F624)</f>
        <v>6138000</v>
      </c>
    </row>
    <row r="625" spans="1:7" s="5" customFormat="1" ht="15.75">
      <c r="A625" s="40" t="s">
        <v>141</v>
      </c>
      <c r="B625" s="12" t="s">
        <v>143</v>
      </c>
      <c r="C625" s="16"/>
      <c r="D625" s="16"/>
      <c r="E625" s="50">
        <f>E626</f>
        <v>53047618</v>
      </c>
      <c r="F625" s="50">
        <f>F626</f>
        <v>1000000</v>
      </c>
      <c r="G625" s="60">
        <f t="shared" si="36"/>
        <v>54047618</v>
      </c>
    </row>
    <row r="626" spans="1:7" s="5" customFormat="1" ht="15.75">
      <c r="A626" s="27" t="s">
        <v>411</v>
      </c>
      <c r="B626" s="1" t="s">
        <v>143</v>
      </c>
      <c r="C626" s="2" t="s">
        <v>209</v>
      </c>
      <c r="D626" s="1"/>
      <c r="E626" s="51">
        <f>E627+E631</f>
        <v>53047618</v>
      </c>
      <c r="F626" s="51">
        <f>F627+F631</f>
        <v>1000000</v>
      </c>
      <c r="G626" s="61">
        <f t="shared" si="36"/>
        <v>54047618</v>
      </c>
    </row>
    <row r="627" spans="1:7" s="5" customFormat="1" ht="47.25">
      <c r="A627" s="25" t="s">
        <v>483</v>
      </c>
      <c r="B627" s="1" t="s">
        <v>143</v>
      </c>
      <c r="C627" s="2" t="s">
        <v>25</v>
      </c>
      <c r="D627" s="1"/>
      <c r="E627" s="51">
        <f aca="true" t="shared" si="37" ref="E627:F629">E628</f>
        <v>48047618</v>
      </c>
      <c r="F627" s="51">
        <f t="shared" si="37"/>
        <v>1000000</v>
      </c>
      <c r="G627" s="61">
        <f t="shared" si="36"/>
        <v>49047618</v>
      </c>
    </row>
    <row r="628" spans="1:7" s="5" customFormat="1" ht="47.25">
      <c r="A628" s="25" t="s">
        <v>142</v>
      </c>
      <c r="B628" s="1" t="s">
        <v>143</v>
      </c>
      <c r="C628" s="2" t="s">
        <v>144</v>
      </c>
      <c r="D628" s="1"/>
      <c r="E628" s="51">
        <f t="shared" si="37"/>
        <v>48047618</v>
      </c>
      <c r="F628" s="51">
        <f t="shared" si="37"/>
        <v>1000000</v>
      </c>
      <c r="G628" s="61">
        <f t="shared" si="36"/>
        <v>49047618</v>
      </c>
    </row>
    <row r="629" spans="1:7" s="5" customFormat="1" ht="31.5">
      <c r="A629" s="25" t="s">
        <v>392</v>
      </c>
      <c r="B629" s="1" t="s">
        <v>143</v>
      </c>
      <c r="C629" s="2" t="s">
        <v>144</v>
      </c>
      <c r="D629" s="1" t="s">
        <v>145</v>
      </c>
      <c r="E629" s="51">
        <f t="shared" si="37"/>
        <v>48047618</v>
      </c>
      <c r="F629" s="51">
        <f t="shared" si="37"/>
        <v>1000000</v>
      </c>
      <c r="G629" s="61">
        <f t="shared" si="36"/>
        <v>49047618</v>
      </c>
    </row>
    <row r="630" spans="1:7" s="5" customFormat="1" ht="15.75">
      <c r="A630" s="25" t="s">
        <v>385</v>
      </c>
      <c r="B630" s="1" t="s">
        <v>143</v>
      </c>
      <c r="C630" s="2" t="s">
        <v>144</v>
      </c>
      <c r="D630" s="1" t="s">
        <v>146</v>
      </c>
      <c r="E630" s="51">
        <v>48047618</v>
      </c>
      <c r="F630" s="51">
        <v>1000000</v>
      </c>
      <c r="G630" s="61">
        <f t="shared" si="36"/>
        <v>49047618</v>
      </c>
    </row>
    <row r="631" spans="1:7" s="5" customFormat="1" ht="15.75">
      <c r="A631" s="25" t="s">
        <v>1</v>
      </c>
      <c r="B631" s="1" t="s">
        <v>143</v>
      </c>
      <c r="C631" s="2" t="s">
        <v>2</v>
      </c>
      <c r="D631" s="2"/>
      <c r="E631" s="51">
        <f aca="true" t="shared" si="38" ref="E631:F633">E632</f>
        <v>5000000</v>
      </c>
      <c r="F631" s="51">
        <f t="shared" si="38"/>
        <v>0</v>
      </c>
      <c r="G631" s="61">
        <f t="shared" si="36"/>
        <v>5000000</v>
      </c>
    </row>
    <row r="632" spans="1:7" s="5" customFormat="1" ht="63">
      <c r="A632" s="25" t="s">
        <v>152</v>
      </c>
      <c r="B632" s="1" t="s">
        <v>143</v>
      </c>
      <c r="C632" s="2" t="s">
        <v>599</v>
      </c>
      <c r="D632" s="2"/>
      <c r="E632" s="51">
        <f t="shared" si="38"/>
        <v>5000000</v>
      </c>
      <c r="F632" s="51">
        <f t="shared" si="38"/>
        <v>0</v>
      </c>
      <c r="G632" s="61">
        <f t="shared" si="36"/>
        <v>5000000</v>
      </c>
    </row>
    <row r="633" spans="1:7" s="5" customFormat="1" ht="31.5">
      <c r="A633" s="25" t="s">
        <v>392</v>
      </c>
      <c r="B633" s="1" t="s">
        <v>143</v>
      </c>
      <c r="C633" s="2" t="s">
        <v>599</v>
      </c>
      <c r="D633" s="1" t="s">
        <v>145</v>
      </c>
      <c r="E633" s="51">
        <f t="shared" si="38"/>
        <v>5000000</v>
      </c>
      <c r="F633" s="51">
        <f t="shared" si="38"/>
        <v>0</v>
      </c>
      <c r="G633" s="61">
        <f t="shared" si="36"/>
        <v>5000000</v>
      </c>
    </row>
    <row r="634" spans="1:7" s="5" customFormat="1" ht="15.75">
      <c r="A634" s="25" t="s">
        <v>385</v>
      </c>
      <c r="B634" s="1" t="s">
        <v>143</v>
      </c>
      <c r="C634" s="2" t="s">
        <v>599</v>
      </c>
      <c r="D634" s="1" t="s">
        <v>146</v>
      </c>
      <c r="E634" s="51">
        <v>5000000</v>
      </c>
      <c r="F634" s="51"/>
      <c r="G634" s="61">
        <f t="shared" si="36"/>
        <v>5000000</v>
      </c>
    </row>
    <row r="635" spans="1:7" s="5" customFormat="1" ht="15.75">
      <c r="A635" s="17" t="s">
        <v>131</v>
      </c>
      <c r="B635" s="12">
        <v>1003</v>
      </c>
      <c r="C635" s="2"/>
      <c r="D635" s="15"/>
      <c r="E635" s="50">
        <f>E636</f>
        <v>487744902</v>
      </c>
      <c r="F635" s="50">
        <f>F636</f>
        <v>13802236</v>
      </c>
      <c r="G635" s="60">
        <f t="shared" si="36"/>
        <v>501547138</v>
      </c>
    </row>
    <row r="636" spans="1:7" s="5" customFormat="1" ht="31.5">
      <c r="A636" s="25" t="s">
        <v>198</v>
      </c>
      <c r="B636" s="1" t="s">
        <v>215</v>
      </c>
      <c r="C636" s="2" t="s">
        <v>6</v>
      </c>
      <c r="D636" s="2"/>
      <c r="E636" s="51">
        <f>SUM(E637,E714,E727,E733)</f>
        <v>487744902</v>
      </c>
      <c r="F636" s="51">
        <f>SUM(F637,F714,F727,F733)</f>
        <v>13802236</v>
      </c>
      <c r="G636" s="61">
        <f t="shared" si="36"/>
        <v>501547138</v>
      </c>
    </row>
    <row r="637" spans="1:7" s="5" customFormat="1" ht="47.25">
      <c r="A637" s="25" t="s">
        <v>509</v>
      </c>
      <c r="B637" s="1" t="s">
        <v>215</v>
      </c>
      <c r="C637" s="2" t="s">
        <v>58</v>
      </c>
      <c r="D637" s="2"/>
      <c r="E637" s="54">
        <f>SUM(E638,E643,E648,E658,E663,E668,E673,E653,E678,E683,E688,E693,E698,E703,E706,E711)</f>
        <v>474094902</v>
      </c>
      <c r="F637" s="54">
        <f>SUM(F638,F643,F648,F658,F663,F668,F673,F653,F678,F683,F688,F693,F698,F703,F706,F711)</f>
        <v>-3695785</v>
      </c>
      <c r="G637" s="61">
        <f t="shared" si="36"/>
        <v>470399117</v>
      </c>
    </row>
    <row r="638" spans="1:7" s="5" customFormat="1" ht="31.5">
      <c r="A638" s="25" t="s">
        <v>347</v>
      </c>
      <c r="B638" s="1" t="s">
        <v>215</v>
      </c>
      <c r="C638" s="2" t="s">
        <v>239</v>
      </c>
      <c r="D638" s="2"/>
      <c r="E638" s="54">
        <f>E641+E639</f>
        <v>114847943</v>
      </c>
      <c r="F638" s="54">
        <f>F641+F639</f>
        <v>0</v>
      </c>
      <c r="G638" s="61">
        <f t="shared" si="36"/>
        <v>114847943</v>
      </c>
    </row>
    <row r="639" spans="1:7" s="5" customFormat="1" ht="31.5">
      <c r="A639" s="23" t="s">
        <v>211</v>
      </c>
      <c r="B639" s="1" t="s">
        <v>215</v>
      </c>
      <c r="C639" s="2" t="s">
        <v>239</v>
      </c>
      <c r="D639" s="2">
        <v>200</v>
      </c>
      <c r="E639" s="54">
        <f>E640</f>
        <v>1267343</v>
      </c>
      <c r="F639" s="54">
        <f>F640</f>
        <v>0</v>
      </c>
      <c r="G639" s="61">
        <f t="shared" si="36"/>
        <v>1267343</v>
      </c>
    </row>
    <row r="640" spans="1:7" s="5" customFormat="1" ht="31.5">
      <c r="A640" s="25" t="s">
        <v>396</v>
      </c>
      <c r="B640" s="1" t="s">
        <v>215</v>
      </c>
      <c r="C640" s="2" t="s">
        <v>239</v>
      </c>
      <c r="D640" s="2">
        <v>240</v>
      </c>
      <c r="E640" s="54">
        <v>1267343</v>
      </c>
      <c r="F640" s="54"/>
      <c r="G640" s="61">
        <f t="shared" si="36"/>
        <v>1267343</v>
      </c>
    </row>
    <row r="641" spans="1:7" s="5" customFormat="1" ht="15.75">
      <c r="A641" s="25" t="s">
        <v>388</v>
      </c>
      <c r="B641" s="1" t="s">
        <v>215</v>
      </c>
      <c r="C641" s="2" t="s">
        <v>239</v>
      </c>
      <c r="D641" s="2">
        <v>300</v>
      </c>
      <c r="E641" s="54">
        <f>E642</f>
        <v>113580600</v>
      </c>
      <c r="F641" s="54">
        <f>F642</f>
        <v>0</v>
      </c>
      <c r="G641" s="61">
        <f t="shared" si="36"/>
        <v>113580600</v>
      </c>
    </row>
    <row r="642" spans="1:7" s="5" customFormat="1" ht="31.5">
      <c r="A642" s="25" t="s">
        <v>389</v>
      </c>
      <c r="B642" s="1" t="s">
        <v>215</v>
      </c>
      <c r="C642" s="2" t="s">
        <v>239</v>
      </c>
      <c r="D642" s="2">
        <v>310</v>
      </c>
      <c r="E642" s="54">
        <v>113580600</v>
      </c>
      <c r="F642" s="54"/>
      <c r="G642" s="61">
        <f t="shared" si="36"/>
        <v>113580600</v>
      </c>
    </row>
    <row r="643" spans="1:7" s="5" customFormat="1" ht="47.25">
      <c r="A643" s="25" t="s">
        <v>348</v>
      </c>
      <c r="B643" s="1" t="s">
        <v>215</v>
      </c>
      <c r="C643" s="2" t="s">
        <v>240</v>
      </c>
      <c r="D643" s="2"/>
      <c r="E643" s="54">
        <f>E646+E644</f>
        <v>8337704</v>
      </c>
      <c r="F643" s="54">
        <f>F646+F644</f>
        <v>0</v>
      </c>
      <c r="G643" s="61">
        <f t="shared" si="36"/>
        <v>8337704</v>
      </c>
    </row>
    <row r="644" spans="1:7" s="5" customFormat="1" ht="31.5">
      <c r="A644" s="23" t="s">
        <v>211</v>
      </c>
      <c r="B644" s="1" t="s">
        <v>215</v>
      </c>
      <c r="C644" s="2" t="s">
        <v>240</v>
      </c>
      <c r="D644" s="2">
        <v>200</v>
      </c>
      <c r="E644" s="54">
        <f>E645</f>
        <v>84091</v>
      </c>
      <c r="F644" s="54">
        <f>F645</f>
        <v>0</v>
      </c>
      <c r="G644" s="61">
        <f t="shared" si="36"/>
        <v>84091</v>
      </c>
    </row>
    <row r="645" spans="1:7" s="5" customFormat="1" ht="31.5">
      <c r="A645" s="25" t="s">
        <v>396</v>
      </c>
      <c r="B645" s="1" t="s">
        <v>215</v>
      </c>
      <c r="C645" s="2" t="s">
        <v>240</v>
      </c>
      <c r="D645" s="2">
        <v>240</v>
      </c>
      <c r="E645" s="54">
        <v>84091</v>
      </c>
      <c r="F645" s="54"/>
      <c r="G645" s="61">
        <f t="shared" si="36"/>
        <v>84091</v>
      </c>
    </row>
    <row r="646" spans="1:7" s="5" customFormat="1" ht="15.75">
      <c r="A646" s="25" t="s">
        <v>388</v>
      </c>
      <c r="B646" s="1" t="s">
        <v>215</v>
      </c>
      <c r="C646" s="2" t="s">
        <v>240</v>
      </c>
      <c r="D646" s="2">
        <v>300</v>
      </c>
      <c r="E646" s="54">
        <f>E647</f>
        <v>8253613</v>
      </c>
      <c r="F646" s="54">
        <f>F647</f>
        <v>0</v>
      </c>
      <c r="G646" s="61">
        <f t="shared" si="36"/>
        <v>8253613</v>
      </c>
    </row>
    <row r="647" spans="1:7" s="5" customFormat="1" ht="31.5">
      <c r="A647" s="25" t="s">
        <v>389</v>
      </c>
      <c r="B647" s="1" t="s">
        <v>215</v>
      </c>
      <c r="C647" s="2" t="s">
        <v>240</v>
      </c>
      <c r="D647" s="2">
        <v>310</v>
      </c>
      <c r="E647" s="54">
        <v>8253613</v>
      </c>
      <c r="F647" s="54"/>
      <c r="G647" s="61">
        <f t="shared" si="36"/>
        <v>8253613</v>
      </c>
    </row>
    <row r="648" spans="1:7" s="5" customFormat="1" ht="31.5">
      <c r="A648" s="25" t="s">
        <v>349</v>
      </c>
      <c r="B648" s="1" t="s">
        <v>215</v>
      </c>
      <c r="C648" s="2" t="s">
        <v>241</v>
      </c>
      <c r="D648" s="2"/>
      <c r="E648" s="54">
        <f>E651+E649</f>
        <v>21456023</v>
      </c>
      <c r="F648" s="54">
        <f>F651+F649</f>
        <v>-1000002</v>
      </c>
      <c r="G648" s="61">
        <f t="shared" si="36"/>
        <v>20456021</v>
      </c>
    </row>
    <row r="649" spans="1:7" s="5" customFormat="1" ht="31.5">
      <c r="A649" s="23" t="s">
        <v>211</v>
      </c>
      <c r="B649" s="1" t="s">
        <v>215</v>
      </c>
      <c r="C649" s="2" t="s">
        <v>241</v>
      </c>
      <c r="D649" s="2">
        <v>200</v>
      </c>
      <c r="E649" s="54">
        <f>E650</f>
        <v>225428</v>
      </c>
      <c r="F649" s="54">
        <f>F650</f>
        <v>-10507</v>
      </c>
      <c r="G649" s="61">
        <f t="shared" si="36"/>
        <v>214921</v>
      </c>
    </row>
    <row r="650" spans="1:7" s="5" customFormat="1" ht="31.5">
      <c r="A650" s="25" t="s">
        <v>396</v>
      </c>
      <c r="B650" s="1" t="s">
        <v>215</v>
      </c>
      <c r="C650" s="2" t="s">
        <v>241</v>
      </c>
      <c r="D650" s="2">
        <v>240</v>
      </c>
      <c r="E650" s="54">
        <v>225428</v>
      </c>
      <c r="F650" s="54">
        <f>-10507</f>
        <v>-10507</v>
      </c>
      <c r="G650" s="61">
        <f t="shared" si="36"/>
        <v>214921</v>
      </c>
    </row>
    <row r="651" spans="1:7" s="5" customFormat="1" ht="15.75">
      <c r="A651" s="25" t="s">
        <v>388</v>
      </c>
      <c r="B651" s="1" t="s">
        <v>215</v>
      </c>
      <c r="C651" s="2" t="s">
        <v>241</v>
      </c>
      <c r="D651" s="2">
        <v>300</v>
      </c>
      <c r="E651" s="54">
        <f>E652</f>
        <v>21230595</v>
      </c>
      <c r="F651" s="54">
        <f>F652</f>
        <v>-989495</v>
      </c>
      <c r="G651" s="61">
        <f t="shared" si="36"/>
        <v>20241100</v>
      </c>
    </row>
    <row r="652" spans="1:7" s="5" customFormat="1" ht="31.5">
      <c r="A652" s="25" t="s">
        <v>389</v>
      </c>
      <c r="B652" s="1" t="s">
        <v>215</v>
      </c>
      <c r="C652" s="2" t="s">
        <v>241</v>
      </c>
      <c r="D652" s="2">
        <v>310</v>
      </c>
      <c r="E652" s="54">
        <v>21230595</v>
      </c>
      <c r="F652" s="54">
        <f>-989495</f>
        <v>-989495</v>
      </c>
      <c r="G652" s="61">
        <f t="shared" si="36"/>
        <v>20241100</v>
      </c>
    </row>
    <row r="653" spans="1:7" s="5" customFormat="1" ht="31.5">
      <c r="A653" s="25" t="s">
        <v>437</v>
      </c>
      <c r="B653" s="1" t="s">
        <v>215</v>
      </c>
      <c r="C653" s="2" t="s">
        <v>242</v>
      </c>
      <c r="D653" s="2"/>
      <c r="E653" s="54">
        <f>E656+E654</f>
        <v>60723833</v>
      </c>
      <c r="F653" s="54">
        <f>F656+F654</f>
        <v>0</v>
      </c>
      <c r="G653" s="61">
        <f t="shared" si="36"/>
        <v>60723833</v>
      </c>
    </row>
    <row r="654" spans="1:7" s="5" customFormat="1" ht="31.5">
      <c r="A654" s="23" t="s">
        <v>211</v>
      </c>
      <c r="B654" s="1" t="s">
        <v>215</v>
      </c>
      <c r="C654" s="2" t="s">
        <v>242</v>
      </c>
      <c r="D654" s="2">
        <v>200</v>
      </c>
      <c r="E654" s="54">
        <f>E655</f>
        <v>174213</v>
      </c>
      <c r="F654" s="54">
        <f>F655</f>
        <v>650000</v>
      </c>
      <c r="G654" s="61">
        <f t="shared" si="36"/>
        <v>824213</v>
      </c>
    </row>
    <row r="655" spans="1:7" s="5" customFormat="1" ht="31.5">
      <c r="A655" s="25" t="s">
        <v>396</v>
      </c>
      <c r="B655" s="1" t="s">
        <v>215</v>
      </c>
      <c r="C655" s="2" t="s">
        <v>242</v>
      </c>
      <c r="D655" s="2">
        <v>240</v>
      </c>
      <c r="E655" s="54">
        <v>174213</v>
      </c>
      <c r="F655" s="54">
        <f>500000+150000</f>
        <v>650000</v>
      </c>
      <c r="G655" s="61">
        <f t="shared" si="36"/>
        <v>824213</v>
      </c>
    </row>
    <row r="656" spans="1:7" s="5" customFormat="1" ht="15.75">
      <c r="A656" s="25" t="s">
        <v>388</v>
      </c>
      <c r="B656" s="1" t="s">
        <v>215</v>
      </c>
      <c r="C656" s="2" t="s">
        <v>242</v>
      </c>
      <c r="D656" s="2">
        <v>300</v>
      </c>
      <c r="E656" s="54">
        <f>E657</f>
        <v>60549620</v>
      </c>
      <c r="F656" s="54">
        <f>F657</f>
        <v>-650000</v>
      </c>
      <c r="G656" s="61">
        <f t="shared" si="36"/>
        <v>59899620</v>
      </c>
    </row>
    <row r="657" spans="1:7" s="5" customFormat="1" ht="31.5">
      <c r="A657" s="25" t="s">
        <v>389</v>
      </c>
      <c r="B657" s="1" t="s">
        <v>215</v>
      </c>
      <c r="C657" s="2" t="s">
        <v>242</v>
      </c>
      <c r="D657" s="2">
        <v>310</v>
      </c>
      <c r="E657" s="54">
        <v>60549620</v>
      </c>
      <c r="F657" s="54">
        <f>-500000-150000</f>
        <v>-650000</v>
      </c>
      <c r="G657" s="61">
        <f t="shared" si="36"/>
        <v>59899620</v>
      </c>
    </row>
    <row r="658" spans="1:7" s="5" customFormat="1" ht="63">
      <c r="A658" s="25" t="s">
        <v>448</v>
      </c>
      <c r="B658" s="1" t="s">
        <v>215</v>
      </c>
      <c r="C658" s="2" t="s">
        <v>243</v>
      </c>
      <c r="D658" s="2"/>
      <c r="E658" s="54">
        <f>E661+E659</f>
        <v>119788</v>
      </c>
      <c r="F658" s="54">
        <f>F661+F659</f>
        <v>0</v>
      </c>
      <c r="G658" s="61">
        <f t="shared" si="36"/>
        <v>119788</v>
      </c>
    </row>
    <row r="659" spans="1:7" s="5" customFormat="1" ht="31.5">
      <c r="A659" s="23" t="s">
        <v>211</v>
      </c>
      <c r="B659" s="1" t="s">
        <v>215</v>
      </c>
      <c r="C659" s="2" t="s">
        <v>243</v>
      </c>
      <c r="D659" s="2">
        <v>200</v>
      </c>
      <c r="E659" s="54">
        <f>E660</f>
        <v>1188</v>
      </c>
      <c r="F659" s="54">
        <f>F660</f>
        <v>0</v>
      </c>
      <c r="G659" s="61">
        <f t="shared" si="36"/>
        <v>1188</v>
      </c>
    </row>
    <row r="660" spans="1:7" s="5" customFormat="1" ht="31.5">
      <c r="A660" s="25" t="s">
        <v>396</v>
      </c>
      <c r="B660" s="1" t="s">
        <v>215</v>
      </c>
      <c r="C660" s="2" t="s">
        <v>243</v>
      </c>
      <c r="D660" s="2">
        <v>240</v>
      </c>
      <c r="E660" s="54">
        <v>1188</v>
      </c>
      <c r="F660" s="54"/>
      <c r="G660" s="61">
        <f t="shared" si="36"/>
        <v>1188</v>
      </c>
    </row>
    <row r="661" spans="1:7" s="5" customFormat="1" ht="15.75">
      <c r="A661" s="25" t="s">
        <v>388</v>
      </c>
      <c r="B661" s="1" t="s">
        <v>215</v>
      </c>
      <c r="C661" s="2" t="s">
        <v>243</v>
      </c>
      <c r="D661" s="2">
        <v>300</v>
      </c>
      <c r="E661" s="54">
        <f>E662</f>
        <v>118600</v>
      </c>
      <c r="F661" s="54">
        <f>F662</f>
        <v>0</v>
      </c>
      <c r="G661" s="61">
        <f t="shared" si="36"/>
        <v>118600</v>
      </c>
    </row>
    <row r="662" spans="1:7" s="5" customFormat="1" ht="31.5">
      <c r="A662" s="25" t="s">
        <v>389</v>
      </c>
      <c r="B662" s="1" t="s">
        <v>215</v>
      </c>
      <c r="C662" s="2" t="s">
        <v>243</v>
      </c>
      <c r="D662" s="2">
        <v>310</v>
      </c>
      <c r="E662" s="54">
        <v>118600</v>
      </c>
      <c r="F662" s="54"/>
      <c r="G662" s="61">
        <f t="shared" si="36"/>
        <v>118600</v>
      </c>
    </row>
    <row r="663" spans="1:7" s="5" customFormat="1" ht="63">
      <c r="A663" s="25" t="s">
        <v>167</v>
      </c>
      <c r="B663" s="1" t="s">
        <v>215</v>
      </c>
      <c r="C663" s="2" t="s">
        <v>440</v>
      </c>
      <c r="D663" s="2"/>
      <c r="E663" s="54">
        <f>E666+E664</f>
        <v>5600000</v>
      </c>
      <c r="F663" s="54">
        <f>F666+F664</f>
        <v>600000</v>
      </c>
      <c r="G663" s="61">
        <f t="shared" si="36"/>
        <v>6200000</v>
      </c>
    </row>
    <row r="664" spans="1:7" s="5" customFormat="1" ht="31.5">
      <c r="A664" s="23" t="s">
        <v>211</v>
      </c>
      <c r="B664" s="1" t="s">
        <v>215</v>
      </c>
      <c r="C664" s="2" t="s">
        <v>440</v>
      </c>
      <c r="D664" s="2">
        <v>200</v>
      </c>
      <c r="E664" s="51">
        <f>E665</f>
        <v>56000</v>
      </c>
      <c r="F664" s="51">
        <f>F665</f>
        <v>5000</v>
      </c>
      <c r="G664" s="61">
        <f t="shared" si="36"/>
        <v>61000</v>
      </c>
    </row>
    <row r="665" spans="1:7" s="5" customFormat="1" ht="31.5">
      <c r="A665" s="25" t="s">
        <v>396</v>
      </c>
      <c r="B665" s="1" t="s">
        <v>215</v>
      </c>
      <c r="C665" s="2" t="s">
        <v>440</v>
      </c>
      <c r="D665" s="2">
        <v>240</v>
      </c>
      <c r="E665" s="51">
        <v>56000</v>
      </c>
      <c r="F665" s="51">
        <f>5000</f>
        <v>5000</v>
      </c>
      <c r="G665" s="61">
        <f t="shared" si="36"/>
        <v>61000</v>
      </c>
    </row>
    <row r="666" spans="1:7" s="5" customFormat="1" ht="15.75">
      <c r="A666" s="25" t="s">
        <v>388</v>
      </c>
      <c r="B666" s="1" t="s">
        <v>215</v>
      </c>
      <c r="C666" s="2" t="s">
        <v>440</v>
      </c>
      <c r="D666" s="2">
        <v>300</v>
      </c>
      <c r="E666" s="51">
        <f>E667</f>
        <v>5544000</v>
      </c>
      <c r="F666" s="51">
        <f>F667</f>
        <v>595000</v>
      </c>
      <c r="G666" s="61">
        <f t="shared" si="36"/>
        <v>6139000</v>
      </c>
    </row>
    <row r="667" spans="1:7" s="5" customFormat="1" ht="31.5">
      <c r="A667" s="25" t="s">
        <v>389</v>
      </c>
      <c r="B667" s="1" t="s">
        <v>215</v>
      </c>
      <c r="C667" s="2" t="s">
        <v>440</v>
      </c>
      <c r="D667" s="2">
        <v>310</v>
      </c>
      <c r="E667" s="51">
        <v>5544000</v>
      </c>
      <c r="F667" s="51">
        <f>595000</f>
        <v>595000</v>
      </c>
      <c r="G667" s="61">
        <f t="shared" si="36"/>
        <v>6139000</v>
      </c>
    </row>
    <row r="668" spans="1:7" s="5" customFormat="1" ht="47.25">
      <c r="A668" s="25" t="s">
        <v>350</v>
      </c>
      <c r="B668" s="1" t="s">
        <v>215</v>
      </c>
      <c r="C668" s="2" t="s">
        <v>244</v>
      </c>
      <c r="D668" s="2"/>
      <c r="E668" s="54">
        <f>E671+E669</f>
        <v>226840309</v>
      </c>
      <c r="F668" s="54">
        <f>F671+F669</f>
        <v>-3296736</v>
      </c>
      <c r="G668" s="61">
        <f t="shared" si="36"/>
        <v>223543573</v>
      </c>
    </row>
    <row r="669" spans="1:7" s="5" customFormat="1" ht="31.5">
      <c r="A669" s="23" t="s">
        <v>211</v>
      </c>
      <c r="B669" s="1" t="s">
        <v>215</v>
      </c>
      <c r="C669" s="2" t="s">
        <v>244</v>
      </c>
      <c r="D669" s="2">
        <v>200</v>
      </c>
      <c r="E669" s="54">
        <f>E670</f>
        <v>16346640</v>
      </c>
      <c r="F669" s="54">
        <f>F670</f>
        <v>-3296736</v>
      </c>
      <c r="G669" s="61">
        <f t="shared" si="36"/>
        <v>13049904</v>
      </c>
    </row>
    <row r="670" spans="1:7" s="4" customFormat="1" ht="31.5">
      <c r="A670" s="25" t="s">
        <v>396</v>
      </c>
      <c r="B670" s="1" t="s">
        <v>215</v>
      </c>
      <c r="C670" s="2" t="s">
        <v>244</v>
      </c>
      <c r="D670" s="2">
        <v>240</v>
      </c>
      <c r="E670" s="54">
        <v>16346640</v>
      </c>
      <c r="F670" s="54">
        <v>-3296736</v>
      </c>
      <c r="G670" s="61">
        <f t="shared" si="36"/>
        <v>13049904</v>
      </c>
    </row>
    <row r="671" spans="1:7" s="4" customFormat="1" ht="15.75">
      <c r="A671" s="25" t="s">
        <v>388</v>
      </c>
      <c r="B671" s="1" t="s">
        <v>215</v>
      </c>
      <c r="C671" s="2" t="s">
        <v>244</v>
      </c>
      <c r="D671" s="2">
        <v>300</v>
      </c>
      <c r="E671" s="54">
        <f>E672</f>
        <v>210493669</v>
      </c>
      <c r="F671" s="54">
        <f>F672</f>
        <v>0</v>
      </c>
      <c r="G671" s="61">
        <f t="shared" si="36"/>
        <v>210493669</v>
      </c>
    </row>
    <row r="672" spans="1:7" s="4" customFormat="1" ht="31.5">
      <c r="A672" s="25" t="s">
        <v>389</v>
      </c>
      <c r="B672" s="1" t="s">
        <v>215</v>
      </c>
      <c r="C672" s="2" t="s">
        <v>244</v>
      </c>
      <c r="D672" s="2">
        <v>310</v>
      </c>
      <c r="E672" s="54">
        <v>210493669</v>
      </c>
      <c r="F672" s="54"/>
      <c r="G672" s="61">
        <f t="shared" si="36"/>
        <v>210493669</v>
      </c>
    </row>
    <row r="673" spans="1:7" s="4" customFormat="1" ht="47.25">
      <c r="A673" s="25" t="s">
        <v>485</v>
      </c>
      <c r="B673" s="1" t="s">
        <v>215</v>
      </c>
      <c r="C673" s="2" t="s">
        <v>245</v>
      </c>
      <c r="D673" s="2"/>
      <c r="E673" s="54">
        <f>E676+E674</f>
        <v>44087</v>
      </c>
      <c r="F673" s="54">
        <f>F676+F674</f>
        <v>0</v>
      </c>
      <c r="G673" s="61">
        <f t="shared" si="36"/>
        <v>44087</v>
      </c>
    </row>
    <row r="674" spans="1:7" s="4" customFormat="1" ht="31.5">
      <c r="A674" s="23" t="s">
        <v>211</v>
      </c>
      <c r="B674" s="1" t="s">
        <v>215</v>
      </c>
      <c r="C674" s="2" t="s">
        <v>245</v>
      </c>
      <c r="D674" s="2">
        <v>200</v>
      </c>
      <c r="E674" s="54">
        <f>E675</f>
        <v>437</v>
      </c>
      <c r="F674" s="54">
        <f>F675</f>
        <v>0</v>
      </c>
      <c r="G674" s="61">
        <f t="shared" si="36"/>
        <v>437</v>
      </c>
    </row>
    <row r="675" spans="1:7" s="5" customFormat="1" ht="31.5">
      <c r="A675" s="25" t="s">
        <v>396</v>
      </c>
      <c r="B675" s="1" t="s">
        <v>215</v>
      </c>
      <c r="C675" s="2" t="s">
        <v>245</v>
      </c>
      <c r="D675" s="2">
        <v>240</v>
      </c>
      <c r="E675" s="54">
        <v>437</v>
      </c>
      <c r="F675" s="54"/>
      <c r="G675" s="61">
        <f t="shared" si="36"/>
        <v>437</v>
      </c>
    </row>
    <row r="676" spans="1:7" s="4" customFormat="1" ht="15.75">
      <c r="A676" s="25" t="s">
        <v>388</v>
      </c>
      <c r="B676" s="1" t="s">
        <v>215</v>
      </c>
      <c r="C676" s="2" t="s">
        <v>245</v>
      </c>
      <c r="D676" s="2">
        <v>300</v>
      </c>
      <c r="E676" s="54">
        <f>E677</f>
        <v>43650</v>
      </c>
      <c r="F676" s="54">
        <f>F677</f>
        <v>0</v>
      </c>
      <c r="G676" s="61">
        <f t="shared" si="36"/>
        <v>43650</v>
      </c>
    </row>
    <row r="677" spans="1:7" s="4" customFormat="1" ht="31.5">
      <c r="A677" s="25" t="s">
        <v>389</v>
      </c>
      <c r="B677" s="1" t="s">
        <v>215</v>
      </c>
      <c r="C677" s="2" t="s">
        <v>245</v>
      </c>
      <c r="D677" s="2">
        <v>310</v>
      </c>
      <c r="E677" s="54">
        <v>43650</v>
      </c>
      <c r="F677" s="54"/>
      <c r="G677" s="61">
        <f t="shared" si="36"/>
        <v>43650</v>
      </c>
    </row>
    <row r="678" spans="1:7" s="5" customFormat="1" ht="31.5">
      <c r="A678" s="25" t="s">
        <v>356</v>
      </c>
      <c r="B678" s="1" t="s">
        <v>215</v>
      </c>
      <c r="C678" s="2" t="s">
        <v>441</v>
      </c>
      <c r="D678" s="2"/>
      <c r="E678" s="54">
        <f>E681+E679</f>
        <v>800000</v>
      </c>
      <c r="F678" s="54">
        <f>F681+F679</f>
        <v>0</v>
      </c>
      <c r="G678" s="61">
        <f t="shared" si="36"/>
        <v>800000</v>
      </c>
    </row>
    <row r="679" spans="1:7" s="5" customFormat="1" ht="31.5">
      <c r="A679" s="23" t="s">
        <v>211</v>
      </c>
      <c r="B679" s="1" t="s">
        <v>215</v>
      </c>
      <c r="C679" s="2" t="s">
        <v>441</v>
      </c>
      <c r="D679" s="2">
        <v>200</v>
      </c>
      <c r="E679" s="54">
        <f>E680</f>
        <v>8000</v>
      </c>
      <c r="F679" s="54">
        <f>F680</f>
        <v>0</v>
      </c>
      <c r="G679" s="61">
        <f t="shared" si="36"/>
        <v>8000</v>
      </c>
    </row>
    <row r="680" spans="1:7" s="5" customFormat="1" ht="31.5">
      <c r="A680" s="25" t="s">
        <v>396</v>
      </c>
      <c r="B680" s="1" t="s">
        <v>215</v>
      </c>
      <c r="C680" s="2" t="s">
        <v>441</v>
      </c>
      <c r="D680" s="2">
        <v>240</v>
      </c>
      <c r="E680" s="54">
        <v>8000</v>
      </c>
      <c r="F680" s="54"/>
      <c r="G680" s="61">
        <f t="shared" si="36"/>
        <v>8000</v>
      </c>
    </row>
    <row r="681" spans="1:7" s="5" customFormat="1" ht="15.75">
      <c r="A681" s="25" t="s">
        <v>388</v>
      </c>
      <c r="B681" s="1" t="s">
        <v>215</v>
      </c>
      <c r="C681" s="2" t="s">
        <v>441</v>
      </c>
      <c r="D681" s="2">
        <v>300</v>
      </c>
      <c r="E681" s="54">
        <f>E682</f>
        <v>792000</v>
      </c>
      <c r="F681" s="54">
        <f>F682</f>
        <v>0</v>
      </c>
      <c r="G681" s="61">
        <f t="shared" si="36"/>
        <v>792000</v>
      </c>
    </row>
    <row r="682" spans="1:7" s="5" customFormat="1" ht="31.5">
      <c r="A682" s="25" t="s">
        <v>389</v>
      </c>
      <c r="B682" s="1" t="s">
        <v>215</v>
      </c>
      <c r="C682" s="2" t="s">
        <v>441</v>
      </c>
      <c r="D682" s="2">
        <v>310</v>
      </c>
      <c r="E682" s="54">
        <v>792000</v>
      </c>
      <c r="F682" s="54"/>
      <c r="G682" s="61">
        <f t="shared" si="36"/>
        <v>792000</v>
      </c>
    </row>
    <row r="683" spans="1:7" s="5" customFormat="1" ht="63">
      <c r="A683" s="25" t="s">
        <v>207</v>
      </c>
      <c r="B683" s="1" t="s">
        <v>215</v>
      </c>
      <c r="C683" s="2" t="s">
        <v>442</v>
      </c>
      <c r="D683" s="2"/>
      <c r="E683" s="54">
        <f>SUM(E686,E684)</f>
        <v>100000</v>
      </c>
      <c r="F683" s="54">
        <f>SUM(F686,F684)</f>
        <v>0</v>
      </c>
      <c r="G683" s="61">
        <f t="shared" si="36"/>
        <v>100000</v>
      </c>
    </row>
    <row r="684" spans="1:7" s="5" customFormat="1" ht="31.5">
      <c r="A684" s="23" t="s">
        <v>211</v>
      </c>
      <c r="B684" s="1" t="s">
        <v>215</v>
      </c>
      <c r="C684" s="2" t="s">
        <v>442</v>
      </c>
      <c r="D684" s="2">
        <v>200</v>
      </c>
      <c r="E684" s="54">
        <f>E685</f>
        <v>1000</v>
      </c>
      <c r="F684" s="54">
        <f>F685</f>
        <v>0</v>
      </c>
      <c r="G684" s="61">
        <f t="shared" si="36"/>
        <v>1000</v>
      </c>
    </row>
    <row r="685" spans="1:7" s="5" customFormat="1" ht="31.5">
      <c r="A685" s="25" t="s">
        <v>396</v>
      </c>
      <c r="B685" s="1" t="s">
        <v>215</v>
      </c>
      <c r="C685" s="2" t="s">
        <v>442</v>
      </c>
      <c r="D685" s="2">
        <v>240</v>
      </c>
      <c r="E685" s="54">
        <v>1000</v>
      </c>
      <c r="F685" s="54"/>
      <c r="G685" s="61">
        <f t="shared" si="36"/>
        <v>1000</v>
      </c>
    </row>
    <row r="686" spans="1:7" s="5" customFormat="1" ht="15.75">
      <c r="A686" s="25" t="s">
        <v>388</v>
      </c>
      <c r="B686" s="1" t="s">
        <v>215</v>
      </c>
      <c r="C686" s="2" t="s">
        <v>442</v>
      </c>
      <c r="D686" s="2">
        <v>300</v>
      </c>
      <c r="E686" s="54">
        <f>E687</f>
        <v>99000</v>
      </c>
      <c r="F686" s="54">
        <f>F687</f>
        <v>0</v>
      </c>
      <c r="G686" s="61">
        <f t="shared" si="36"/>
        <v>99000</v>
      </c>
    </row>
    <row r="687" spans="1:7" s="5" customFormat="1" ht="31.5">
      <c r="A687" s="25" t="s">
        <v>389</v>
      </c>
      <c r="B687" s="1" t="s">
        <v>215</v>
      </c>
      <c r="C687" s="2" t="s">
        <v>442</v>
      </c>
      <c r="D687" s="2">
        <v>310</v>
      </c>
      <c r="E687" s="54">
        <v>99000</v>
      </c>
      <c r="F687" s="54"/>
      <c r="G687" s="61">
        <f t="shared" si="36"/>
        <v>99000</v>
      </c>
    </row>
    <row r="688" spans="1:7" s="5" customFormat="1" ht="31.5">
      <c r="A688" s="25" t="s">
        <v>358</v>
      </c>
      <c r="B688" s="1" t="s">
        <v>215</v>
      </c>
      <c r="C688" s="2" t="s">
        <v>443</v>
      </c>
      <c r="D688" s="2"/>
      <c r="E688" s="54">
        <f>E691+E689</f>
        <v>5000000</v>
      </c>
      <c r="F688" s="54">
        <f>F691+F689</f>
        <v>0</v>
      </c>
      <c r="G688" s="61">
        <f aca="true" t="shared" si="39" ref="G688:G759">SUM(E688:F688)</f>
        <v>5000000</v>
      </c>
    </row>
    <row r="689" spans="1:7" s="4" customFormat="1" ht="31.5">
      <c r="A689" s="23" t="s">
        <v>211</v>
      </c>
      <c r="B689" s="1" t="s">
        <v>215</v>
      </c>
      <c r="C689" s="2" t="s">
        <v>443</v>
      </c>
      <c r="D689" s="2">
        <v>200</v>
      </c>
      <c r="E689" s="54">
        <f>E690</f>
        <v>195000</v>
      </c>
      <c r="F689" s="54">
        <f>F690</f>
        <v>0</v>
      </c>
      <c r="G689" s="61">
        <f t="shared" si="39"/>
        <v>195000</v>
      </c>
    </row>
    <row r="690" spans="1:7" s="5" customFormat="1" ht="31.5">
      <c r="A690" s="25" t="s">
        <v>396</v>
      </c>
      <c r="B690" s="1">
        <v>1003</v>
      </c>
      <c r="C690" s="2" t="s">
        <v>443</v>
      </c>
      <c r="D690" s="2">
        <v>240</v>
      </c>
      <c r="E690" s="54">
        <v>195000</v>
      </c>
      <c r="F690" s="54"/>
      <c r="G690" s="61">
        <f t="shared" si="39"/>
        <v>195000</v>
      </c>
    </row>
    <row r="691" spans="1:7" s="30" customFormat="1" ht="15.75">
      <c r="A691" s="25" t="s">
        <v>388</v>
      </c>
      <c r="B691" s="1" t="s">
        <v>215</v>
      </c>
      <c r="C691" s="2" t="s">
        <v>443</v>
      </c>
      <c r="D691" s="2">
        <v>300</v>
      </c>
      <c r="E691" s="54">
        <f>E692</f>
        <v>4805000</v>
      </c>
      <c r="F691" s="54">
        <f>F692</f>
        <v>0</v>
      </c>
      <c r="G691" s="61">
        <f t="shared" si="39"/>
        <v>4805000</v>
      </c>
    </row>
    <row r="692" spans="1:7" s="4" customFormat="1" ht="31.5">
      <c r="A692" s="25" t="s">
        <v>389</v>
      </c>
      <c r="B692" s="1" t="s">
        <v>215</v>
      </c>
      <c r="C692" s="2" t="s">
        <v>443</v>
      </c>
      <c r="D692" s="2">
        <v>310</v>
      </c>
      <c r="E692" s="54">
        <v>4805000</v>
      </c>
      <c r="F692" s="54"/>
      <c r="G692" s="61">
        <f t="shared" si="39"/>
        <v>4805000</v>
      </c>
    </row>
    <row r="693" spans="1:7" s="4" customFormat="1" ht="47.25">
      <c r="A693" s="25" t="s">
        <v>190</v>
      </c>
      <c r="B693" s="1">
        <v>1003</v>
      </c>
      <c r="C693" s="2" t="s">
        <v>444</v>
      </c>
      <c r="D693" s="2"/>
      <c r="E693" s="54">
        <f>E696+E694</f>
        <v>3400000</v>
      </c>
      <c r="F693" s="54">
        <f>F696+F694</f>
        <v>0</v>
      </c>
      <c r="G693" s="61">
        <f t="shared" si="39"/>
        <v>3400000</v>
      </c>
    </row>
    <row r="694" spans="1:7" s="4" customFormat="1" ht="31.5">
      <c r="A694" s="23" t="s">
        <v>211</v>
      </c>
      <c r="B694" s="1">
        <v>1003</v>
      </c>
      <c r="C694" s="2" t="s">
        <v>444</v>
      </c>
      <c r="D694" s="2">
        <v>200</v>
      </c>
      <c r="E694" s="54">
        <f>E695</f>
        <v>37400</v>
      </c>
      <c r="F694" s="54">
        <f>F695</f>
        <v>0</v>
      </c>
      <c r="G694" s="61">
        <f t="shared" si="39"/>
        <v>37400</v>
      </c>
    </row>
    <row r="695" spans="1:7" s="4" customFormat="1" ht="31.5">
      <c r="A695" s="25" t="s">
        <v>396</v>
      </c>
      <c r="B695" s="1">
        <v>1003</v>
      </c>
      <c r="C695" s="2" t="s">
        <v>444</v>
      </c>
      <c r="D695" s="2">
        <v>240</v>
      </c>
      <c r="E695" s="54">
        <v>37400</v>
      </c>
      <c r="F695" s="54"/>
      <c r="G695" s="61">
        <f t="shared" si="39"/>
        <v>37400</v>
      </c>
    </row>
    <row r="696" spans="1:7" s="4" customFormat="1" ht="15.75">
      <c r="A696" s="25" t="s">
        <v>388</v>
      </c>
      <c r="B696" s="1" t="s">
        <v>215</v>
      </c>
      <c r="C696" s="2" t="s">
        <v>444</v>
      </c>
      <c r="D696" s="2">
        <v>300</v>
      </c>
      <c r="E696" s="54">
        <f>E697</f>
        <v>3362600</v>
      </c>
      <c r="F696" s="54">
        <f>F697</f>
        <v>0</v>
      </c>
      <c r="G696" s="61">
        <f t="shared" si="39"/>
        <v>3362600</v>
      </c>
    </row>
    <row r="697" spans="1:7" s="4" customFormat="1" ht="31.5">
      <c r="A697" s="25" t="s">
        <v>389</v>
      </c>
      <c r="B697" s="1" t="s">
        <v>215</v>
      </c>
      <c r="C697" s="2" t="s">
        <v>444</v>
      </c>
      <c r="D697" s="2">
        <v>310</v>
      </c>
      <c r="E697" s="54">
        <v>3362600</v>
      </c>
      <c r="F697" s="54"/>
      <c r="G697" s="61">
        <f t="shared" si="39"/>
        <v>3362600</v>
      </c>
    </row>
    <row r="698" spans="1:7" s="4" customFormat="1" ht="15.75">
      <c r="A698" s="25" t="s">
        <v>359</v>
      </c>
      <c r="B698" s="1">
        <v>1003</v>
      </c>
      <c r="C698" s="2" t="s">
        <v>445</v>
      </c>
      <c r="D698" s="2"/>
      <c r="E698" s="54">
        <f>E701+E699</f>
        <v>900000</v>
      </c>
      <c r="F698" s="54">
        <f>F701+F699</f>
        <v>0</v>
      </c>
      <c r="G698" s="61">
        <f t="shared" si="39"/>
        <v>900000</v>
      </c>
    </row>
    <row r="699" spans="1:7" s="4" customFormat="1" ht="31.5">
      <c r="A699" s="23" t="s">
        <v>211</v>
      </c>
      <c r="B699" s="1">
        <v>1003</v>
      </c>
      <c r="C699" s="2" t="s">
        <v>445</v>
      </c>
      <c r="D699" s="2">
        <v>200</v>
      </c>
      <c r="E699" s="54">
        <f>E700</f>
        <v>9000</v>
      </c>
      <c r="F699" s="54">
        <f>F700</f>
        <v>0</v>
      </c>
      <c r="G699" s="61">
        <f t="shared" si="39"/>
        <v>9000</v>
      </c>
    </row>
    <row r="700" spans="1:7" s="5" customFormat="1" ht="31.5">
      <c r="A700" s="25" t="s">
        <v>396</v>
      </c>
      <c r="B700" s="1">
        <v>1003</v>
      </c>
      <c r="C700" s="2" t="s">
        <v>445</v>
      </c>
      <c r="D700" s="2">
        <v>240</v>
      </c>
      <c r="E700" s="54">
        <v>9000</v>
      </c>
      <c r="F700" s="54"/>
      <c r="G700" s="61">
        <f t="shared" si="39"/>
        <v>9000</v>
      </c>
    </row>
    <row r="701" spans="1:7" s="4" customFormat="1" ht="15.75">
      <c r="A701" s="25" t="s">
        <v>388</v>
      </c>
      <c r="B701" s="1" t="s">
        <v>215</v>
      </c>
      <c r="C701" s="2" t="s">
        <v>445</v>
      </c>
      <c r="D701" s="2">
        <v>300</v>
      </c>
      <c r="E701" s="54">
        <f>E702</f>
        <v>891000</v>
      </c>
      <c r="F701" s="54">
        <f>F702</f>
        <v>0</v>
      </c>
      <c r="G701" s="61">
        <f t="shared" si="39"/>
        <v>891000</v>
      </c>
    </row>
    <row r="702" spans="1:7" s="4" customFormat="1" ht="31.5">
      <c r="A702" s="25" t="s">
        <v>389</v>
      </c>
      <c r="B702" s="1" t="s">
        <v>215</v>
      </c>
      <c r="C702" s="2" t="s">
        <v>445</v>
      </c>
      <c r="D702" s="2">
        <v>310</v>
      </c>
      <c r="E702" s="54">
        <v>891000</v>
      </c>
      <c r="F702" s="54"/>
      <c r="G702" s="61">
        <f t="shared" si="39"/>
        <v>891000</v>
      </c>
    </row>
    <row r="703" spans="1:7" s="4" customFormat="1" ht="94.5">
      <c r="A703" s="25" t="s">
        <v>449</v>
      </c>
      <c r="B703" s="1" t="s">
        <v>215</v>
      </c>
      <c r="C703" s="2" t="s">
        <v>450</v>
      </c>
      <c r="D703" s="2"/>
      <c r="E703" s="54">
        <f>E704</f>
        <v>1800000</v>
      </c>
      <c r="F703" s="54">
        <f>F704</f>
        <v>0</v>
      </c>
      <c r="G703" s="61">
        <f t="shared" si="39"/>
        <v>1800000</v>
      </c>
    </row>
    <row r="704" spans="1:7" s="5" customFormat="1" ht="15.75">
      <c r="A704" s="25" t="s">
        <v>388</v>
      </c>
      <c r="B704" s="1" t="s">
        <v>215</v>
      </c>
      <c r="C704" s="2" t="s">
        <v>450</v>
      </c>
      <c r="D704" s="2">
        <v>300</v>
      </c>
      <c r="E704" s="54">
        <f>E705</f>
        <v>1800000</v>
      </c>
      <c r="F704" s="54">
        <f>F705</f>
        <v>0</v>
      </c>
      <c r="G704" s="61">
        <f t="shared" si="39"/>
        <v>1800000</v>
      </c>
    </row>
    <row r="705" spans="1:7" s="5" customFormat="1" ht="31.5">
      <c r="A705" s="25" t="s">
        <v>418</v>
      </c>
      <c r="B705" s="1" t="s">
        <v>215</v>
      </c>
      <c r="C705" s="2" t="s">
        <v>450</v>
      </c>
      <c r="D705" s="2">
        <v>320</v>
      </c>
      <c r="E705" s="54">
        <v>1800000</v>
      </c>
      <c r="F705" s="54"/>
      <c r="G705" s="61">
        <f t="shared" si="39"/>
        <v>1800000</v>
      </c>
    </row>
    <row r="706" spans="1:7" s="4" customFormat="1" ht="47.25">
      <c r="A706" s="25" t="s">
        <v>154</v>
      </c>
      <c r="B706" s="1" t="s">
        <v>215</v>
      </c>
      <c r="C706" s="2" t="s">
        <v>248</v>
      </c>
      <c r="D706" s="2"/>
      <c r="E706" s="54">
        <f>E709+E707</f>
        <v>22175733</v>
      </c>
      <c r="F706" s="54">
        <f>F709+F707</f>
        <v>0</v>
      </c>
      <c r="G706" s="61">
        <f t="shared" si="39"/>
        <v>22175733</v>
      </c>
    </row>
    <row r="707" spans="1:7" s="4" customFormat="1" ht="31.5">
      <c r="A707" s="23" t="s">
        <v>211</v>
      </c>
      <c r="B707" s="1" t="s">
        <v>215</v>
      </c>
      <c r="C707" s="2" t="s">
        <v>248</v>
      </c>
      <c r="D707" s="2">
        <v>200</v>
      </c>
      <c r="E707" s="54">
        <f>E708</f>
        <v>164100</v>
      </c>
      <c r="F707" s="54">
        <f>F708</f>
        <v>0</v>
      </c>
      <c r="G707" s="61">
        <f t="shared" si="39"/>
        <v>164100</v>
      </c>
    </row>
    <row r="708" spans="1:7" s="5" customFormat="1" ht="31.5">
      <c r="A708" s="25" t="s">
        <v>396</v>
      </c>
      <c r="B708" s="1" t="s">
        <v>215</v>
      </c>
      <c r="C708" s="2" t="s">
        <v>248</v>
      </c>
      <c r="D708" s="2">
        <v>240</v>
      </c>
      <c r="E708" s="54">
        <v>164100</v>
      </c>
      <c r="F708" s="54"/>
      <c r="G708" s="61">
        <f t="shared" si="39"/>
        <v>164100</v>
      </c>
    </row>
    <row r="709" spans="1:7" s="4" customFormat="1" ht="15.75">
      <c r="A709" s="25" t="s">
        <v>388</v>
      </c>
      <c r="B709" s="1" t="s">
        <v>215</v>
      </c>
      <c r="C709" s="2" t="s">
        <v>248</v>
      </c>
      <c r="D709" s="2">
        <v>300</v>
      </c>
      <c r="E709" s="54">
        <f>E710</f>
        <v>22011633</v>
      </c>
      <c r="F709" s="54">
        <f>F710</f>
        <v>0</v>
      </c>
      <c r="G709" s="61">
        <f t="shared" si="39"/>
        <v>22011633</v>
      </c>
    </row>
    <row r="710" spans="1:7" s="4" customFormat="1" ht="31.5">
      <c r="A710" s="25" t="s">
        <v>389</v>
      </c>
      <c r="B710" s="1" t="s">
        <v>215</v>
      </c>
      <c r="C710" s="2" t="s">
        <v>248</v>
      </c>
      <c r="D710" s="2">
        <v>310</v>
      </c>
      <c r="E710" s="54">
        <v>22011633</v>
      </c>
      <c r="F710" s="54"/>
      <c r="G710" s="61">
        <f t="shared" si="39"/>
        <v>22011633</v>
      </c>
    </row>
    <row r="711" spans="1:7" s="4" customFormat="1" ht="47.25">
      <c r="A711" s="25" t="s">
        <v>297</v>
      </c>
      <c r="B711" s="1" t="s">
        <v>215</v>
      </c>
      <c r="C711" s="2" t="s">
        <v>296</v>
      </c>
      <c r="D711" s="2"/>
      <c r="E711" s="54">
        <f>E712</f>
        <v>1949482</v>
      </c>
      <c r="F711" s="54">
        <f>F712</f>
        <v>953</v>
      </c>
      <c r="G711" s="61">
        <f>SUM(E711:F711)</f>
        <v>1950435</v>
      </c>
    </row>
    <row r="712" spans="1:7" s="4" customFormat="1" ht="15.75">
      <c r="A712" s="25" t="s">
        <v>388</v>
      </c>
      <c r="B712" s="1" t="s">
        <v>215</v>
      </c>
      <c r="C712" s="2" t="s">
        <v>296</v>
      </c>
      <c r="D712" s="2">
        <v>300</v>
      </c>
      <c r="E712" s="54">
        <f>E713</f>
        <v>1949482</v>
      </c>
      <c r="F712" s="54">
        <f>F713</f>
        <v>953</v>
      </c>
      <c r="G712" s="61">
        <f>SUM(E712:F712)</f>
        <v>1950435</v>
      </c>
    </row>
    <row r="713" spans="1:7" s="4" customFormat="1" ht="31.5">
      <c r="A713" s="25" t="s">
        <v>389</v>
      </c>
      <c r="B713" s="1" t="s">
        <v>215</v>
      </c>
      <c r="C713" s="2" t="s">
        <v>296</v>
      </c>
      <c r="D713" s="2">
        <v>310</v>
      </c>
      <c r="E713" s="54">
        <v>1949482</v>
      </c>
      <c r="F713" s="54">
        <f>953</f>
        <v>953</v>
      </c>
      <c r="G713" s="61">
        <f>SUM(E713:F713)</f>
        <v>1950435</v>
      </c>
    </row>
    <row r="714" spans="1:7" s="5" customFormat="1" ht="15.75">
      <c r="A714" s="27" t="s">
        <v>524</v>
      </c>
      <c r="B714" s="1">
        <v>1003</v>
      </c>
      <c r="C714" s="2" t="s">
        <v>7</v>
      </c>
      <c r="D714" s="2"/>
      <c r="E714" s="51">
        <f>SUM(E715,E718,E721,E724)</f>
        <v>3650000</v>
      </c>
      <c r="F714" s="51">
        <f>SUM(F715,F718,F721,F724)</f>
        <v>0</v>
      </c>
      <c r="G714" s="61">
        <f t="shared" si="39"/>
        <v>3650000</v>
      </c>
    </row>
    <row r="715" spans="1:7" s="5" customFormat="1" ht="78.75">
      <c r="A715" s="25" t="s">
        <v>493</v>
      </c>
      <c r="B715" s="1">
        <v>1003</v>
      </c>
      <c r="C715" s="2" t="s">
        <v>84</v>
      </c>
      <c r="D715" s="2"/>
      <c r="E715" s="54">
        <f>E716</f>
        <v>1000000</v>
      </c>
      <c r="F715" s="54">
        <f>F716</f>
        <v>0</v>
      </c>
      <c r="G715" s="61">
        <f t="shared" si="39"/>
        <v>1000000</v>
      </c>
    </row>
    <row r="716" spans="1:7" s="5" customFormat="1" ht="31.5">
      <c r="A716" s="23" t="s">
        <v>211</v>
      </c>
      <c r="B716" s="1">
        <v>1003</v>
      </c>
      <c r="C716" s="2" t="s">
        <v>84</v>
      </c>
      <c r="D716" s="2">
        <v>200</v>
      </c>
      <c r="E716" s="54">
        <f>E717</f>
        <v>1000000</v>
      </c>
      <c r="F716" s="54">
        <f>F717</f>
        <v>0</v>
      </c>
      <c r="G716" s="61">
        <f t="shared" si="39"/>
        <v>1000000</v>
      </c>
    </row>
    <row r="717" spans="1:7" s="5" customFormat="1" ht="31.5">
      <c r="A717" s="23" t="s">
        <v>396</v>
      </c>
      <c r="B717" s="1">
        <v>1003</v>
      </c>
      <c r="C717" s="2" t="s">
        <v>84</v>
      </c>
      <c r="D717" s="2">
        <v>240</v>
      </c>
      <c r="E717" s="54">
        <v>1000000</v>
      </c>
      <c r="F717" s="54"/>
      <c r="G717" s="61">
        <f t="shared" si="39"/>
        <v>1000000</v>
      </c>
    </row>
    <row r="718" spans="1:7" s="5" customFormat="1" ht="47.25">
      <c r="A718" s="26" t="s">
        <v>367</v>
      </c>
      <c r="B718" s="1">
        <v>1003</v>
      </c>
      <c r="C718" s="2" t="s">
        <v>451</v>
      </c>
      <c r="D718" s="2"/>
      <c r="E718" s="54">
        <f>E719</f>
        <v>1350000</v>
      </c>
      <c r="F718" s="54">
        <f>F719</f>
        <v>0</v>
      </c>
      <c r="G718" s="61">
        <f t="shared" si="39"/>
        <v>1350000</v>
      </c>
    </row>
    <row r="719" spans="1:7" s="5" customFormat="1" ht="31.5">
      <c r="A719" s="23" t="s">
        <v>211</v>
      </c>
      <c r="B719" s="1">
        <v>1003</v>
      </c>
      <c r="C719" s="2" t="s">
        <v>451</v>
      </c>
      <c r="D719" s="2">
        <v>200</v>
      </c>
      <c r="E719" s="54">
        <f>E720</f>
        <v>1350000</v>
      </c>
      <c r="F719" s="54">
        <f>F720</f>
        <v>0</v>
      </c>
      <c r="G719" s="61">
        <f t="shared" si="39"/>
        <v>1350000</v>
      </c>
    </row>
    <row r="720" spans="1:7" s="4" customFormat="1" ht="31.5">
      <c r="A720" s="23" t="s">
        <v>396</v>
      </c>
      <c r="B720" s="1">
        <v>1003</v>
      </c>
      <c r="C720" s="2" t="s">
        <v>451</v>
      </c>
      <c r="D720" s="2">
        <v>240</v>
      </c>
      <c r="E720" s="54">
        <v>1350000</v>
      </c>
      <c r="F720" s="54"/>
      <c r="G720" s="61">
        <f t="shared" si="39"/>
        <v>1350000</v>
      </c>
    </row>
    <row r="721" spans="1:7" s="5" customFormat="1" ht="31.5">
      <c r="A721" s="27" t="s">
        <v>368</v>
      </c>
      <c r="B721" s="1">
        <v>1003</v>
      </c>
      <c r="C721" s="2" t="s">
        <v>452</v>
      </c>
      <c r="D721" s="2"/>
      <c r="E721" s="54">
        <f>E722</f>
        <v>1000000</v>
      </c>
      <c r="F721" s="54">
        <f>F722</f>
        <v>0</v>
      </c>
      <c r="G721" s="61">
        <f t="shared" si="39"/>
        <v>1000000</v>
      </c>
    </row>
    <row r="722" spans="1:7" s="4" customFormat="1" ht="31.5">
      <c r="A722" s="23" t="s">
        <v>211</v>
      </c>
      <c r="B722" s="1">
        <v>1003</v>
      </c>
      <c r="C722" s="2" t="s">
        <v>452</v>
      </c>
      <c r="D722" s="2">
        <v>200</v>
      </c>
      <c r="E722" s="54">
        <f>E723</f>
        <v>1000000</v>
      </c>
      <c r="F722" s="54">
        <f>F723</f>
        <v>0</v>
      </c>
      <c r="G722" s="61">
        <f t="shared" si="39"/>
        <v>1000000</v>
      </c>
    </row>
    <row r="723" spans="1:7" s="4" customFormat="1" ht="31.5">
      <c r="A723" s="23" t="s">
        <v>396</v>
      </c>
      <c r="B723" s="1">
        <v>1003</v>
      </c>
      <c r="C723" s="2" t="s">
        <v>452</v>
      </c>
      <c r="D723" s="2">
        <v>240</v>
      </c>
      <c r="E723" s="54">
        <v>1000000</v>
      </c>
      <c r="F723" s="54"/>
      <c r="G723" s="61">
        <f t="shared" si="39"/>
        <v>1000000</v>
      </c>
    </row>
    <row r="724" spans="1:7" s="4" customFormat="1" ht="31.5">
      <c r="A724" s="25" t="s">
        <v>369</v>
      </c>
      <c r="B724" s="1">
        <v>1003</v>
      </c>
      <c r="C724" s="2" t="s">
        <v>453</v>
      </c>
      <c r="D724" s="2"/>
      <c r="E724" s="54">
        <f>E725</f>
        <v>300000</v>
      </c>
      <c r="F724" s="54">
        <f>F725</f>
        <v>0</v>
      </c>
      <c r="G724" s="61">
        <f t="shared" si="39"/>
        <v>300000</v>
      </c>
    </row>
    <row r="725" spans="1:7" s="5" customFormat="1" ht="31.5">
      <c r="A725" s="23" t="s">
        <v>211</v>
      </c>
      <c r="B725" s="1">
        <v>1003</v>
      </c>
      <c r="C725" s="2" t="s">
        <v>453</v>
      </c>
      <c r="D725" s="2">
        <v>200</v>
      </c>
      <c r="E725" s="54">
        <f>E726</f>
        <v>300000</v>
      </c>
      <c r="F725" s="54">
        <f>F726</f>
        <v>0</v>
      </c>
      <c r="G725" s="61">
        <f t="shared" si="39"/>
        <v>300000</v>
      </c>
    </row>
    <row r="726" spans="1:7" s="5" customFormat="1" ht="31.5">
      <c r="A726" s="23" t="s">
        <v>396</v>
      </c>
      <c r="B726" s="1">
        <v>1003</v>
      </c>
      <c r="C726" s="2" t="s">
        <v>453</v>
      </c>
      <c r="D726" s="2">
        <v>240</v>
      </c>
      <c r="E726" s="54">
        <v>300000</v>
      </c>
      <c r="F726" s="54"/>
      <c r="G726" s="61">
        <f t="shared" si="39"/>
        <v>300000</v>
      </c>
    </row>
    <row r="727" spans="1:7" s="4" customFormat="1" ht="15.75">
      <c r="A727" s="25" t="s">
        <v>525</v>
      </c>
      <c r="B727" s="1">
        <v>1003</v>
      </c>
      <c r="C727" s="2" t="s">
        <v>454</v>
      </c>
      <c r="D727" s="2"/>
      <c r="E727" s="54">
        <f>E728</f>
        <v>10000000</v>
      </c>
      <c r="F727" s="54">
        <f>F728</f>
        <v>3449000</v>
      </c>
      <c r="G727" s="61">
        <f t="shared" si="39"/>
        <v>13449000</v>
      </c>
    </row>
    <row r="728" spans="1:7" s="4" customFormat="1" ht="31.5">
      <c r="A728" s="25" t="s">
        <v>371</v>
      </c>
      <c r="B728" s="1">
        <v>1003</v>
      </c>
      <c r="C728" s="2" t="s">
        <v>455</v>
      </c>
      <c r="D728" s="2"/>
      <c r="E728" s="54">
        <f>E731+E729</f>
        <v>10000000</v>
      </c>
      <c r="F728" s="54">
        <f>F731+F729</f>
        <v>3449000</v>
      </c>
      <c r="G728" s="61">
        <f t="shared" si="39"/>
        <v>13449000</v>
      </c>
    </row>
    <row r="729" spans="1:7" s="5" customFormat="1" ht="31.5">
      <c r="A729" s="23" t="s">
        <v>211</v>
      </c>
      <c r="B729" s="1">
        <v>1003</v>
      </c>
      <c r="C729" s="2" t="s">
        <v>455</v>
      </c>
      <c r="D729" s="2">
        <v>200</v>
      </c>
      <c r="E729" s="54">
        <f>E730</f>
        <v>110000</v>
      </c>
      <c r="F729" s="54">
        <f>F730</f>
        <v>39000</v>
      </c>
      <c r="G729" s="61">
        <f t="shared" si="39"/>
        <v>149000</v>
      </c>
    </row>
    <row r="730" spans="1:7" s="4" customFormat="1" ht="31.5">
      <c r="A730" s="23" t="s">
        <v>396</v>
      </c>
      <c r="B730" s="1">
        <v>1003</v>
      </c>
      <c r="C730" s="2" t="s">
        <v>455</v>
      </c>
      <c r="D730" s="2">
        <v>240</v>
      </c>
      <c r="E730" s="54">
        <v>110000</v>
      </c>
      <c r="F730" s="54">
        <v>39000</v>
      </c>
      <c r="G730" s="61">
        <f t="shared" si="39"/>
        <v>149000</v>
      </c>
    </row>
    <row r="731" spans="1:7" s="4" customFormat="1" ht="15.75">
      <c r="A731" s="25" t="s">
        <v>388</v>
      </c>
      <c r="B731" s="1">
        <v>1003</v>
      </c>
      <c r="C731" s="2" t="s">
        <v>455</v>
      </c>
      <c r="D731" s="2">
        <v>300</v>
      </c>
      <c r="E731" s="54">
        <f>E732</f>
        <v>9890000</v>
      </c>
      <c r="F731" s="54">
        <f>F732</f>
        <v>3410000</v>
      </c>
      <c r="G731" s="61">
        <f t="shared" si="39"/>
        <v>13300000</v>
      </c>
    </row>
    <row r="732" spans="1:7" s="5" customFormat="1" ht="31.5">
      <c r="A732" s="25" t="s">
        <v>418</v>
      </c>
      <c r="B732" s="1">
        <v>1003</v>
      </c>
      <c r="C732" s="2" t="s">
        <v>455</v>
      </c>
      <c r="D732" s="2">
        <v>320</v>
      </c>
      <c r="E732" s="54">
        <v>9890000</v>
      </c>
      <c r="F732" s="54">
        <v>3410000</v>
      </c>
      <c r="G732" s="61">
        <f t="shared" si="39"/>
        <v>13300000</v>
      </c>
    </row>
    <row r="733" spans="1:7" s="5" customFormat="1" ht="15.75">
      <c r="A733" s="25" t="s">
        <v>318</v>
      </c>
      <c r="B733" s="1">
        <v>1003</v>
      </c>
      <c r="C733" s="2" t="s">
        <v>316</v>
      </c>
      <c r="D733" s="2"/>
      <c r="E733" s="54">
        <f aca="true" t="shared" si="40" ref="E733:F735">E734</f>
        <v>0</v>
      </c>
      <c r="F733" s="54">
        <f t="shared" si="40"/>
        <v>14049021</v>
      </c>
      <c r="G733" s="61">
        <f>SUM(E733:F733)</f>
        <v>14049021</v>
      </c>
    </row>
    <row r="734" spans="1:7" s="5" customFormat="1" ht="31.5">
      <c r="A734" s="25" t="s">
        <v>319</v>
      </c>
      <c r="B734" s="1">
        <v>1003</v>
      </c>
      <c r="C734" s="2" t="s">
        <v>317</v>
      </c>
      <c r="D734" s="2"/>
      <c r="E734" s="54">
        <f t="shared" si="40"/>
        <v>0</v>
      </c>
      <c r="F734" s="54">
        <f t="shared" si="40"/>
        <v>14049021</v>
      </c>
      <c r="G734" s="61">
        <f>SUM(E734:F734)</f>
        <v>14049021</v>
      </c>
    </row>
    <row r="735" spans="1:7" s="5" customFormat="1" ht="15.75">
      <c r="A735" s="25" t="s">
        <v>388</v>
      </c>
      <c r="B735" s="1">
        <v>1003</v>
      </c>
      <c r="C735" s="2" t="s">
        <v>317</v>
      </c>
      <c r="D735" s="2">
        <v>300</v>
      </c>
      <c r="E735" s="54">
        <f t="shared" si="40"/>
        <v>0</v>
      </c>
      <c r="F735" s="54">
        <f t="shared" si="40"/>
        <v>14049021</v>
      </c>
      <c r="G735" s="61">
        <f>SUM(E735:F735)</f>
        <v>14049021</v>
      </c>
    </row>
    <row r="736" spans="1:7" s="5" customFormat="1" ht="31.5">
      <c r="A736" s="25" t="s">
        <v>418</v>
      </c>
      <c r="B736" s="1">
        <v>1003</v>
      </c>
      <c r="C736" s="2" t="s">
        <v>317</v>
      </c>
      <c r="D736" s="2">
        <v>320</v>
      </c>
      <c r="E736" s="54"/>
      <c r="F736" s="54">
        <v>14049021</v>
      </c>
      <c r="G736" s="61">
        <f>SUM(E736:F736)</f>
        <v>14049021</v>
      </c>
    </row>
    <row r="737" spans="1:7" s="4" customFormat="1" ht="15.75">
      <c r="A737" s="17" t="s">
        <v>137</v>
      </c>
      <c r="B737" s="12" t="s">
        <v>138</v>
      </c>
      <c r="C737" s="2"/>
      <c r="D737" s="2"/>
      <c r="E737" s="50">
        <f>SUM(E738,E745)</f>
        <v>98702285</v>
      </c>
      <c r="F737" s="50">
        <f>SUM(F738,F745)</f>
        <v>7370650.720000001</v>
      </c>
      <c r="G737" s="60">
        <f t="shared" si="39"/>
        <v>106072935.72</v>
      </c>
    </row>
    <row r="738" spans="1:7" s="4" customFormat="1" ht="31.5">
      <c r="A738" s="25" t="s">
        <v>492</v>
      </c>
      <c r="B738" s="1" t="s">
        <v>138</v>
      </c>
      <c r="C738" s="2" t="s">
        <v>49</v>
      </c>
      <c r="D738" s="2"/>
      <c r="E738" s="51">
        <f>E739</f>
        <v>14488549</v>
      </c>
      <c r="F738" s="51">
        <f>F739</f>
        <v>7429993.720000001</v>
      </c>
      <c r="G738" s="61">
        <f t="shared" si="39"/>
        <v>21918542.72</v>
      </c>
    </row>
    <row r="739" spans="1:7" s="5" customFormat="1" ht="31.5">
      <c r="A739" s="26" t="s">
        <v>504</v>
      </c>
      <c r="B739" s="1" t="s">
        <v>138</v>
      </c>
      <c r="C739" s="2" t="s">
        <v>477</v>
      </c>
      <c r="D739" s="2"/>
      <c r="E739" s="51">
        <f>E740</f>
        <v>14488549</v>
      </c>
      <c r="F739" s="51">
        <f>F740</f>
        <v>7429993.720000001</v>
      </c>
      <c r="G739" s="61">
        <f t="shared" si="39"/>
        <v>21918542.72</v>
      </c>
    </row>
    <row r="740" spans="1:7" s="4" customFormat="1" ht="15.75">
      <c r="A740" s="26" t="s">
        <v>233</v>
      </c>
      <c r="B740" s="1" t="s">
        <v>138</v>
      </c>
      <c r="C740" s="2" t="s">
        <v>253</v>
      </c>
      <c r="D740" s="2"/>
      <c r="E740" s="51">
        <f>SUM(E741,E744)</f>
        <v>14488549</v>
      </c>
      <c r="F740" s="51">
        <f>SUM(F741,F744)</f>
        <v>7429993.720000001</v>
      </c>
      <c r="G740" s="61">
        <f t="shared" si="39"/>
        <v>21918542.72</v>
      </c>
    </row>
    <row r="741" spans="1:7" s="30" customFormat="1" ht="31.5">
      <c r="A741" s="23" t="s">
        <v>211</v>
      </c>
      <c r="B741" s="1" t="s">
        <v>138</v>
      </c>
      <c r="C741" s="2" t="s">
        <v>253</v>
      </c>
      <c r="D741" s="1" t="s">
        <v>404</v>
      </c>
      <c r="E741" s="54">
        <f>E742</f>
        <v>140709</v>
      </c>
      <c r="F741" s="54">
        <f>F742</f>
        <v>74299.94</v>
      </c>
      <c r="G741" s="61">
        <f t="shared" si="39"/>
        <v>215008.94</v>
      </c>
    </row>
    <row r="742" spans="1:7" s="5" customFormat="1" ht="31.5">
      <c r="A742" s="23" t="s">
        <v>396</v>
      </c>
      <c r="B742" s="1" t="s">
        <v>138</v>
      </c>
      <c r="C742" s="2" t="s">
        <v>253</v>
      </c>
      <c r="D742" s="1" t="s">
        <v>405</v>
      </c>
      <c r="E742" s="54">
        <v>140709</v>
      </c>
      <c r="F742" s="54">
        <v>74299.94</v>
      </c>
      <c r="G742" s="61">
        <f t="shared" si="39"/>
        <v>215008.94</v>
      </c>
    </row>
    <row r="743" spans="1:7" s="5" customFormat="1" ht="15.75">
      <c r="A743" s="25" t="s">
        <v>388</v>
      </c>
      <c r="B743" s="1" t="s">
        <v>138</v>
      </c>
      <c r="C743" s="2" t="s">
        <v>253</v>
      </c>
      <c r="D743" s="2">
        <v>300</v>
      </c>
      <c r="E743" s="51">
        <f>E744</f>
        <v>14347840</v>
      </c>
      <c r="F743" s="51">
        <f>F744</f>
        <v>7355693.78</v>
      </c>
      <c r="G743" s="61">
        <f t="shared" si="39"/>
        <v>21703533.78</v>
      </c>
    </row>
    <row r="744" spans="1:7" s="5" customFormat="1" ht="31.5">
      <c r="A744" s="25" t="s">
        <v>389</v>
      </c>
      <c r="B744" s="1" t="s">
        <v>138</v>
      </c>
      <c r="C744" s="2" t="s">
        <v>253</v>
      </c>
      <c r="D744" s="2">
        <v>310</v>
      </c>
      <c r="E744" s="54">
        <v>14347840</v>
      </c>
      <c r="F744" s="54">
        <v>7355693.78</v>
      </c>
      <c r="G744" s="61">
        <f t="shared" si="39"/>
        <v>21703533.78</v>
      </c>
    </row>
    <row r="745" spans="1:7" s="5" customFormat="1" ht="31.5">
      <c r="A745" s="25" t="s">
        <v>266</v>
      </c>
      <c r="B745" s="1" t="s">
        <v>138</v>
      </c>
      <c r="C745" s="2" t="s">
        <v>6</v>
      </c>
      <c r="D745" s="2"/>
      <c r="E745" s="54">
        <f>E746</f>
        <v>84213736</v>
      </c>
      <c r="F745" s="54">
        <f>F746</f>
        <v>-59343</v>
      </c>
      <c r="G745" s="61">
        <f t="shared" si="39"/>
        <v>84154393</v>
      </c>
    </row>
    <row r="746" spans="1:7" s="5" customFormat="1" ht="47.25">
      <c r="A746" s="25" t="s">
        <v>509</v>
      </c>
      <c r="B746" s="1" t="s">
        <v>138</v>
      </c>
      <c r="C746" s="2" t="s">
        <v>58</v>
      </c>
      <c r="D746" s="2"/>
      <c r="E746" s="54">
        <f>SUM(E747,E755,E750)</f>
        <v>84213736</v>
      </c>
      <c r="F746" s="54">
        <f>SUM(F747,F755,F750)</f>
        <v>-59343</v>
      </c>
      <c r="G746" s="61">
        <f t="shared" si="39"/>
        <v>84154393</v>
      </c>
    </row>
    <row r="747" spans="1:7" s="4" customFormat="1" ht="78.75">
      <c r="A747" s="25" t="s">
        <v>351</v>
      </c>
      <c r="B747" s="1" t="s">
        <v>138</v>
      </c>
      <c r="C747" s="2" t="s">
        <v>246</v>
      </c>
      <c r="D747" s="2"/>
      <c r="E747" s="54">
        <f>E748</f>
        <v>539483</v>
      </c>
      <c r="F747" s="54">
        <f>F748</f>
        <v>-59343</v>
      </c>
      <c r="G747" s="61">
        <f t="shared" si="39"/>
        <v>480140</v>
      </c>
    </row>
    <row r="748" spans="1:7" s="4" customFormat="1" ht="15.75">
      <c r="A748" s="25" t="s">
        <v>388</v>
      </c>
      <c r="B748" s="1" t="s">
        <v>138</v>
      </c>
      <c r="C748" s="2" t="s">
        <v>246</v>
      </c>
      <c r="D748" s="2">
        <v>300</v>
      </c>
      <c r="E748" s="54">
        <f>E749</f>
        <v>539483</v>
      </c>
      <c r="F748" s="54">
        <f>F749</f>
        <v>-59343</v>
      </c>
      <c r="G748" s="61">
        <f t="shared" si="39"/>
        <v>480140</v>
      </c>
    </row>
    <row r="749" spans="1:7" s="4" customFormat="1" ht="31.5">
      <c r="A749" s="25" t="s">
        <v>389</v>
      </c>
      <c r="B749" s="1" t="s">
        <v>138</v>
      </c>
      <c r="C749" s="2" t="s">
        <v>246</v>
      </c>
      <c r="D749" s="2">
        <v>310</v>
      </c>
      <c r="E749" s="54">
        <v>539483</v>
      </c>
      <c r="F749" s="54">
        <v>-59343</v>
      </c>
      <c r="G749" s="61">
        <f t="shared" si="39"/>
        <v>480140</v>
      </c>
    </row>
    <row r="750" spans="1:7" s="4" customFormat="1" ht="63">
      <c r="A750" s="25" t="s">
        <v>291</v>
      </c>
      <c r="B750" s="1" t="s">
        <v>138</v>
      </c>
      <c r="C750" s="2" t="s">
        <v>290</v>
      </c>
      <c r="D750" s="2"/>
      <c r="E750" s="54">
        <f>E751+E753</f>
        <v>53906962</v>
      </c>
      <c r="F750" s="54">
        <f>SUM(F751,F753)</f>
        <v>0</v>
      </c>
      <c r="G750" s="61">
        <f>SUM(E750:F750)</f>
        <v>53906962</v>
      </c>
    </row>
    <row r="751" spans="1:7" s="4" customFormat="1" ht="31.5">
      <c r="A751" s="23" t="s">
        <v>211</v>
      </c>
      <c r="B751" s="1" t="s">
        <v>138</v>
      </c>
      <c r="C751" s="2" t="s">
        <v>290</v>
      </c>
      <c r="D751" s="2">
        <v>200</v>
      </c>
      <c r="E751" s="54">
        <f>E752</f>
        <v>537464</v>
      </c>
      <c r="F751" s="54">
        <f>F752</f>
        <v>-537464</v>
      </c>
      <c r="G751" s="61">
        <f>SUM(E751:F751)</f>
        <v>0</v>
      </c>
    </row>
    <row r="752" spans="1:7" s="4" customFormat="1" ht="31.5">
      <c r="A752" s="23" t="s">
        <v>396</v>
      </c>
      <c r="B752" s="1" t="s">
        <v>138</v>
      </c>
      <c r="C752" s="2" t="s">
        <v>290</v>
      </c>
      <c r="D752" s="2">
        <v>240</v>
      </c>
      <c r="E752" s="54">
        <v>537464</v>
      </c>
      <c r="F752" s="54">
        <v>-537464</v>
      </c>
      <c r="G752" s="61">
        <f>SUM(E752:F752)</f>
        <v>0</v>
      </c>
    </row>
    <row r="753" spans="1:7" s="4" customFormat="1" ht="15.75">
      <c r="A753" s="25" t="s">
        <v>388</v>
      </c>
      <c r="B753" s="1" t="s">
        <v>138</v>
      </c>
      <c r="C753" s="2" t="s">
        <v>290</v>
      </c>
      <c r="D753" s="2">
        <v>300</v>
      </c>
      <c r="E753" s="54">
        <f>E754</f>
        <v>53369498</v>
      </c>
      <c r="F753" s="54">
        <f>F754</f>
        <v>537464</v>
      </c>
      <c r="G753" s="61">
        <f>SUM(E753:F753)</f>
        <v>53906962</v>
      </c>
    </row>
    <row r="754" spans="1:7" s="4" customFormat="1" ht="31.5">
      <c r="A754" s="25" t="s">
        <v>389</v>
      </c>
      <c r="B754" s="1" t="s">
        <v>138</v>
      </c>
      <c r="C754" s="2" t="s">
        <v>290</v>
      </c>
      <c r="D754" s="2">
        <v>310</v>
      </c>
      <c r="E754" s="54">
        <v>53369498</v>
      </c>
      <c r="F754" s="54">
        <v>537464</v>
      </c>
      <c r="G754" s="61">
        <f>SUM(E754:F754)</f>
        <v>53906962</v>
      </c>
    </row>
    <row r="755" spans="1:7" s="5" customFormat="1" ht="98.25" customHeight="1">
      <c r="A755" s="25" t="s">
        <v>353</v>
      </c>
      <c r="B755" s="1" t="s">
        <v>138</v>
      </c>
      <c r="C755" s="2" t="s">
        <v>247</v>
      </c>
      <c r="D755" s="2"/>
      <c r="E755" s="54">
        <f>E756</f>
        <v>29767291</v>
      </c>
      <c r="F755" s="54">
        <f>F756</f>
        <v>0</v>
      </c>
      <c r="G755" s="61">
        <f t="shared" si="39"/>
        <v>29767291</v>
      </c>
    </row>
    <row r="756" spans="1:7" s="5" customFormat="1" ht="15.75">
      <c r="A756" s="25" t="s">
        <v>388</v>
      </c>
      <c r="B756" s="1" t="s">
        <v>138</v>
      </c>
      <c r="C756" s="2" t="s">
        <v>247</v>
      </c>
      <c r="D756" s="2">
        <v>300</v>
      </c>
      <c r="E756" s="54">
        <f>E757</f>
        <v>29767291</v>
      </c>
      <c r="F756" s="54">
        <f>F757</f>
        <v>0</v>
      </c>
      <c r="G756" s="61">
        <f t="shared" si="39"/>
        <v>29767291</v>
      </c>
    </row>
    <row r="757" spans="1:7" s="5" customFormat="1" ht="31.5">
      <c r="A757" s="25" t="s">
        <v>389</v>
      </c>
      <c r="B757" s="1" t="s">
        <v>138</v>
      </c>
      <c r="C757" s="2" t="s">
        <v>247</v>
      </c>
      <c r="D757" s="2">
        <v>310</v>
      </c>
      <c r="E757" s="54">
        <v>29767291</v>
      </c>
      <c r="F757" s="54"/>
      <c r="G757" s="61">
        <f t="shared" si="39"/>
        <v>29767291</v>
      </c>
    </row>
    <row r="758" spans="1:7" s="5" customFormat="1" ht="15.75">
      <c r="A758" s="10" t="s">
        <v>132</v>
      </c>
      <c r="B758" s="12" t="s">
        <v>134</v>
      </c>
      <c r="C758" s="2"/>
      <c r="D758" s="2"/>
      <c r="E758" s="50">
        <f>SUM(E772,E759,E790)</f>
        <v>43207621</v>
      </c>
      <c r="F758" s="50">
        <f>SUM(F772,F759,F790)</f>
        <v>-1153500</v>
      </c>
      <c r="G758" s="60">
        <f t="shared" si="39"/>
        <v>42054121</v>
      </c>
    </row>
    <row r="759" spans="1:7" s="5" customFormat="1" ht="31.5">
      <c r="A759" s="25" t="s">
        <v>203</v>
      </c>
      <c r="B759" s="1" t="s">
        <v>134</v>
      </c>
      <c r="C759" s="2" t="s">
        <v>49</v>
      </c>
      <c r="D759" s="2"/>
      <c r="E759" s="51">
        <f>SUM(E760,E766)</f>
        <v>9850000</v>
      </c>
      <c r="F759" s="51">
        <f>SUM(F760,F766)</f>
        <v>0</v>
      </c>
      <c r="G759" s="61">
        <f t="shared" si="39"/>
        <v>9850000</v>
      </c>
    </row>
    <row r="760" spans="1:7" s="5" customFormat="1" ht="31.5">
      <c r="A760" s="26" t="s">
        <v>499</v>
      </c>
      <c r="B760" s="1" t="s">
        <v>134</v>
      </c>
      <c r="C760" s="2" t="s">
        <v>50</v>
      </c>
      <c r="D760" s="2"/>
      <c r="E760" s="51">
        <f>E761</f>
        <v>2503500</v>
      </c>
      <c r="F760" s="51">
        <f>F761</f>
        <v>0</v>
      </c>
      <c r="G760" s="61">
        <f aca="true" t="shared" si="41" ref="G760:G823">SUM(E760:F760)</f>
        <v>2503500</v>
      </c>
    </row>
    <row r="761" spans="1:7" s="4" customFormat="1" ht="31.5">
      <c r="A761" s="26" t="s">
        <v>220</v>
      </c>
      <c r="B761" s="1" t="s">
        <v>134</v>
      </c>
      <c r="C761" s="2" t="s">
        <v>456</v>
      </c>
      <c r="D761" s="2"/>
      <c r="E761" s="51">
        <f>E764+E762</f>
        <v>2503500</v>
      </c>
      <c r="F761" s="51">
        <f>F764+F762</f>
        <v>0</v>
      </c>
      <c r="G761" s="61">
        <f t="shared" si="41"/>
        <v>2503500</v>
      </c>
    </row>
    <row r="762" spans="1:7" s="4" customFormat="1" ht="31.5">
      <c r="A762" s="23" t="s">
        <v>211</v>
      </c>
      <c r="B762" s="1" t="s">
        <v>134</v>
      </c>
      <c r="C762" s="2" t="s">
        <v>456</v>
      </c>
      <c r="D762" s="2">
        <v>200</v>
      </c>
      <c r="E762" s="51">
        <f>E763</f>
        <v>24500</v>
      </c>
      <c r="F762" s="51">
        <f>F763</f>
        <v>0</v>
      </c>
      <c r="G762" s="61">
        <f t="shared" si="41"/>
        <v>24500</v>
      </c>
    </row>
    <row r="763" spans="1:7" s="4" customFormat="1" ht="31.5">
      <c r="A763" s="23" t="s">
        <v>396</v>
      </c>
      <c r="B763" s="1" t="s">
        <v>134</v>
      </c>
      <c r="C763" s="2" t="s">
        <v>456</v>
      </c>
      <c r="D763" s="2">
        <v>240</v>
      </c>
      <c r="E763" s="51">
        <v>24500</v>
      </c>
      <c r="F763" s="51"/>
      <c r="G763" s="61">
        <f t="shared" si="41"/>
        <v>24500</v>
      </c>
    </row>
    <row r="764" spans="1:7" s="5" customFormat="1" ht="15.75">
      <c r="A764" s="25" t="s">
        <v>388</v>
      </c>
      <c r="B764" s="1" t="s">
        <v>134</v>
      </c>
      <c r="C764" s="2" t="s">
        <v>456</v>
      </c>
      <c r="D764" s="2">
        <v>300</v>
      </c>
      <c r="E764" s="51">
        <f>E765</f>
        <v>2479000</v>
      </c>
      <c r="F764" s="51">
        <f>F765</f>
        <v>0</v>
      </c>
      <c r="G764" s="61">
        <f t="shared" si="41"/>
        <v>2479000</v>
      </c>
    </row>
    <row r="765" spans="1:7" s="5" customFormat="1" ht="31.5">
      <c r="A765" s="25" t="s">
        <v>389</v>
      </c>
      <c r="B765" s="1" t="s">
        <v>134</v>
      </c>
      <c r="C765" s="2" t="s">
        <v>456</v>
      </c>
      <c r="D765" s="2">
        <v>310</v>
      </c>
      <c r="E765" s="51">
        <v>2479000</v>
      </c>
      <c r="F765" s="51"/>
      <c r="G765" s="61">
        <f t="shared" si="41"/>
        <v>2479000</v>
      </c>
    </row>
    <row r="766" spans="1:7" s="5" customFormat="1" ht="31.5">
      <c r="A766" s="26" t="s">
        <v>500</v>
      </c>
      <c r="B766" s="1" t="s">
        <v>134</v>
      </c>
      <c r="C766" s="2" t="s">
        <v>458</v>
      </c>
      <c r="D766" s="2"/>
      <c r="E766" s="51">
        <f>E767</f>
        <v>7346500</v>
      </c>
      <c r="F766" s="51">
        <f>F767</f>
        <v>0</v>
      </c>
      <c r="G766" s="61">
        <f t="shared" si="41"/>
        <v>7346500</v>
      </c>
    </row>
    <row r="767" spans="1:7" s="4" customFormat="1" ht="31.5">
      <c r="A767" s="26" t="s">
        <v>225</v>
      </c>
      <c r="B767" s="1" t="s">
        <v>134</v>
      </c>
      <c r="C767" s="2" t="s">
        <v>457</v>
      </c>
      <c r="D767" s="2"/>
      <c r="E767" s="51">
        <f>E770+E768</f>
        <v>7346500</v>
      </c>
      <c r="F767" s="51">
        <f>F770+F768</f>
        <v>0</v>
      </c>
      <c r="G767" s="61">
        <f t="shared" si="41"/>
        <v>7346500</v>
      </c>
    </row>
    <row r="768" spans="1:7" s="4" customFormat="1" ht="31.5">
      <c r="A768" s="23" t="s">
        <v>211</v>
      </c>
      <c r="B768" s="1" t="s">
        <v>134</v>
      </c>
      <c r="C768" s="2" t="s">
        <v>457</v>
      </c>
      <c r="D768" s="2">
        <v>200</v>
      </c>
      <c r="E768" s="51">
        <f>E769</f>
        <v>76500</v>
      </c>
      <c r="F768" s="51">
        <f>F769</f>
        <v>0</v>
      </c>
      <c r="G768" s="61">
        <f t="shared" si="41"/>
        <v>76500</v>
      </c>
    </row>
    <row r="769" spans="1:7" s="4" customFormat="1" ht="31.5">
      <c r="A769" s="23" t="s">
        <v>396</v>
      </c>
      <c r="B769" s="1" t="s">
        <v>134</v>
      </c>
      <c r="C769" s="2" t="s">
        <v>457</v>
      </c>
      <c r="D769" s="2">
        <v>240</v>
      </c>
      <c r="E769" s="51">
        <v>76500</v>
      </c>
      <c r="F769" s="51"/>
      <c r="G769" s="61">
        <f t="shared" si="41"/>
        <v>76500</v>
      </c>
    </row>
    <row r="770" spans="1:7" s="5" customFormat="1" ht="15.75">
      <c r="A770" s="25" t="s">
        <v>388</v>
      </c>
      <c r="B770" s="1" t="s">
        <v>134</v>
      </c>
      <c r="C770" s="2" t="s">
        <v>457</v>
      </c>
      <c r="D770" s="2">
        <v>300</v>
      </c>
      <c r="E770" s="51">
        <f>E771</f>
        <v>7270000</v>
      </c>
      <c r="F770" s="51">
        <f>F771</f>
        <v>0</v>
      </c>
      <c r="G770" s="61">
        <f t="shared" si="41"/>
        <v>7270000</v>
      </c>
    </row>
    <row r="771" spans="1:7" s="4" customFormat="1" ht="31.5">
      <c r="A771" s="25" t="s">
        <v>389</v>
      </c>
      <c r="B771" s="1" t="s">
        <v>134</v>
      </c>
      <c r="C771" s="2" t="s">
        <v>457</v>
      </c>
      <c r="D771" s="2">
        <v>310</v>
      </c>
      <c r="E771" s="51">
        <v>7270000</v>
      </c>
      <c r="F771" s="51"/>
      <c r="G771" s="61">
        <f t="shared" si="41"/>
        <v>7270000</v>
      </c>
    </row>
    <row r="772" spans="1:7" s="4" customFormat="1" ht="31.5">
      <c r="A772" s="25" t="s">
        <v>198</v>
      </c>
      <c r="B772" s="1" t="s">
        <v>134</v>
      </c>
      <c r="C772" s="2" t="s">
        <v>6</v>
      </c>
      <c r="D772" s="2"/>
      <c r="E772" s="51">
        <f>SUM(E777,E773)</f>
        <v>23157621</v>
      </c>
      <c r="F772" s="51">
        <f>SUM(F777,F773)</f>
        <v>2295500</v>
      </c>
      <c r="G772" s="61">
        <f t="shared" si="41"/>
        <v>25453121</v>
      </c>
    </row>
    <row r="773" spans="1:7" s="4" customFormat="1" ht="47.25">
      <c r="A773" s="25" t="s">
        <v>509</v>
      </c>
      <c r="B773" s="1" t="s">
        <v>134</v>
      </c>
      <c r="C773" s="2" t="s">
        <v>58</v>
      </c>
      <c r="D773" s="2"/>
      <c r="E773" s="51">
        <f aca="true" t="shared" si="42" ref="E773:F775">E774</f>
        <v>1000000</v>
      </c>
      <c r="F773" s="51">
        <f t="shared" si="42"/>
        <v>0</v>
      </c>
      <c r="G773" s="61">
        <f t="shared" si="41"/>
        <v>1000000</v>
      </c>
    </row>
    <row r="774" spans="1:7" s="4" customFormat="1" ht="31.5">
      <c r="A774" s="25" t="s">
        <v>362</v>
      </c>
      <c r="B774" s="1" t="s">
        <v>134</v>
      </c>
      <c r="C774" s="2" t="s">
        <v>59</v>
      </c>
      <c r="D774" s="2"/>
      <c r="E774" s="51">
        <f t="shared" si="42"/>
        <v>1000000</v>
      </c>
      <c r="F774" s="51">
        <f t="shared" si="42"/>
        <v>0</v>
      </c>
      <c r="G774" s="61">
        <f t="shared" si="41"/>
        <v>1000000</v>
      </c>
    </row>
    <row r="775" spans="1:7" s="4" customFormat="1" ht="31.5">
      <c r="A775" s="23" t="s">
        <v>211</v>
      </c>
      <c r="B775" s="1" t="s">
        <v>134</v>
      </c>
      <c r="C775" s="2" t="s">
        <v>59</v>
      </c>
      <c r="D775" s="2">
        <v>200</v>
      </c>
      <c r="E775" s="51">
        <f t="shared" si="42"/>
        <v>1000000</v>
      </c>
      <c r="F775" s="51">
        <f t="shared" si="42"/>
        <v>0</v>
      </c>
      <c r="G775" s="61">
        <f t="shared" si="41"/>
        <v>1000000</v>
      </c>
    </row>
    <row r="776" spans="1:7" s="4" customFormat="1" ht="31.5">
      <c r="A776" s="23" t="s">
        <v>396</v>
      </c>
      <c r="B776" s="1" t="s">
        <v>134</v>
      </c>
      <c r="C776" s="2" t="s">
        <v>59</v>
      </c>
      <c r="D776" s="2">
        <v>240</v>
      </c>
      <c r="E776" s="54">
        <v>1000000</v>
      </c>
      <c r="F776" s="54"/>
      <c r="G776" s="61">
        <f t="shared" si="41"/>
        <v>1000000</v>
      </c>
    </row>
    <row r="777" spans="1:7" s="4" customFormat="1" ht="47.25">
      <c r="A777" s="25" t="s">
        <v>526</v>
      </c>
      <c r="B777" s="1" t="s">
        <v>134</v>
      </c>
      <c r="C777" s="2" t="s">
        <v>459</v>
      </c>
      <c r="D777" s="2"/>
      <c r="E777" s="54">
        <f>SUM(E778,E785)</f>
        <v>22157621</v>
      </c>
      <c r="F777" s="54">
        <f>SUM(F778,F785)</f>
        <v>2295500</v>
      </c>
      <c r="G777" s="61">
        <f t="shared" si="41"/>
        <v>24453121</v>
      </c>
    </row>
    <row r="778" spans="1:7" s="5" customFormat="1" ht="36" customHeight="1">
      <c r="A778" s="25" t="s">
        <v>344</v>
      </c>
      <c r="B778" s="1" t="s">
        <v>134</v>
      </c>
      <c r="C778" s="2" t="s">
        <v>249</v>
      </c>
      <c r="D778" s="2"/>
      <c r="E778" s="54">
        <f>E779+E781+E783</f>
        <v>15157621</v>
      </c>
      <c r="F778" s="54">
        <f>F779+F781+F783</f>
        <v>795500</v>
      </c>
      <c r="G778" s="61">
        <f t="shared" si="41"/>
        <v>15953121</v>
      </c>
    </row>
    <row r="779" spans="1:7" s="4" customFormat="1" ht="78.75">
      <c r="A779" s="24" t="s">
        <v>398</v>
      </c>
      <c r="B779" s="1" t="s">
        <v>134</v>
      </c>
      <c r="C779" s="2" t="s">
        <v>249</v>
      </c>
      <c r="D779" s="1" t="s">
        <v>402</v>
      </c>
      <c r="E779" s="54">
        <f>E780</f>
        <v>13515057</v>
      </c>
      <c r="F779" s="54">
        <f>F780</f>
        <v>0</v>
      </c>
      <c r="G779" s="61">
        <f t="shared" si="41"/>
        <v>13515057</v>
      </c>
    </row>
    <row r="780" spans="1:7" s="4" customFormat="1" ht="31.5">
      <c r="A780" s="24" t="s">
        <v>399</v>
      </c>
      <c r="B780" s="1" t="s">
        <v>134</v>
      </c>
      <c r="C780" s="2" t="s">
        <v>249</v>
      </c>
      <c r="D780" s="1" t="s">
        <v>403</v>
      </c>
      <c r="E780" s="54">
        <v>13515057</v>
      </c>
      <c r="F780" s="54"/>
      <c r="G780" s="61">
        <f t="shared" si="41"/>
        <v>13515057</v>
      </c>
    </row>
    <row r="781" spans="1:7" s="5" customFormat="1" ht="31.5">
      <c r="A781" s="23" t="s">
        <v>211</v>
      </c>
      <c r="B781" s="1" t="s">
        <v>134</v>
      </c>
      <c r="C781" s="2" t="s">
        <v>249</v>
      </c>
      <c r="D781" s="1" t="s">
        <v>404</v>
      </c>
      <c r="E781" s="54">
        <f>E782</f>
        <v>1610000</v>
      </c>
      <c r="F781" s="54">
        <f>F782</f>
        <v>795500</v>
      </c>
      <c r="G781" s="61">
        <f t="shared" si="41"/>
        <v>2405500</v>
      </c>
    </row>
    <row r="782" spans="1:7" s="4" customFormat="1" ht="31.5">
      <c r="A782" s="23" t="s">
        <v>396</v>
      </c>
      <c r="B782" s="1" t="s">
        <v>134</v>
      </c>
      <c r="C782" s="2" t="s">
        <v>249</v>
      </c>
      <c r="D782" s="1" t="s">
        <v>405</v>
      </c>
      <c r="E782" s="54">
        <v>1610000</v>
      </c>
      <c r="F782" s="54">
        <f>795500</f>
        <v>795500</v>
      </c>
      <c r="G782" s="61">
        <f t="shared" si="41"/>
        <v>2405500</v>
      </c>
    </row>
    <row r="783" spans="1:7" s="4" customFormat="1" ht="15.75">
      <c r="A783" s="23" t="s">
        <v>400</v>
      </c>
      <c r="B783" s="1" t="s">
        <v>134</v>
      </c>
      <c r="C783" s="2" t="s">
        <v>249</v>
      </c>
      <c r="D783" s="1" t="s">
        <v>406</v>
      </c>
      <c r="E783" s="54">
        <f>E784</f>
        <v>32564</v>
      </c>
      <c r="F783" s="54">
        <f>F784</f>
        <v>0</v>
      </c>
      <c r="G783" s="61">
        <f t="shared" si="41"/>
        <v>32564</v>
      </c>
    </row>
    <row r="784" spans="1:7" s="4" customFormat="1" ht="15.75">
      <c r="A784" s="23" t="s">
        <v>401</v>
      </c>
      <c r="B784" s="1" t="s">
        <v>134</v>
      </c>
      <c r="C784" s="2" t="s">
        <v>249</v>
      </c>
      <c r="D784" s="1" t="s">
        <v>407</v>
      </c>
      <c r="E784" s="54">
        <v>32564</v>
      </c>
      <c r="F784" s="54"/>
      <c r="G784" s="61">
        <f t="shared" si="41"/>
        <v>32564</v>
      </c>
    </row>
    <row r="785" spans="1:7" s="4" customFormat="1" ht="47.25">
      <c r="A785" s="25" t="s">
        <v>176</v>
      </c>
      <c r="B785" s="1" t="s">
        <v>134</v>
      </c>
      <c r="C785" s="2" t="s">
        <v>460</v>
      </c>
      <c r="D785" s="2"/>
      <c r="E785" s="54">
        <f>E786+E788</f>
        <v>7000000</v>
      </c>
      <c r="F785" s="54">
        <f>F786+F788</f>
        <v>1500000</v>
      </c>
      <c r="G785" s="61">
        <f t="shared" si="41"/>
        <v>8500000</v>
      </c>
    </row>
    <row r="786" spans="1:7" s="4" customFormat="1" ht="78.75">
      <c r="A786" s="24" t="s">
        <v>398</v>
      </c>
      <c r="B786" s="1" t="s">
        <v>134</v>
      </c>
      <c r="C786" s="2" t="s">
        <v>460</v>
      </c>
      <c r="D786" s="1" t="s">
        <v>402</v>
      </c>
      <c r="E786" s="54">
        <f>E787</f>
        <v>6800000</v>
      </c>
      <c r="F786" s="54">
        <f>F787</f>
        <v>1500000</v>
      </c>
      <c r="G786" s="61">
        <f t="shared" si="41"/>
        <v>8300000</v>
      </c>
    </row>
    <row r="787" spans="1:7" s="4" customFormat="1" ht="31.5">
      <c r="A787" s="24" t="s">
        <v>399</v>
      </c>
      <c r="B787" s="1" t="s">
        <v>134</v>
      </c>
      <c r="C787" s="2" t="s">
        <v>460</v>
      </c>
      <c r="D787" s="1" t="s">
        <v>403</v>
      </c>
      <c r="E787" s="54">
        <v>6800000</v>
      </c>
      <c r="F787" s="54">
        <v>1500000</v>
      </c>
      <c r="G787" s="61">
        <f t="shared" si="41"/>
        <v>8300000</v>
      </c>
    </row>
    <row r="788" spans="1:7" s="4" customFormat="1" ht="31.5">
      <c r="A788" s="23" t="s">
        <v>211</v>
      </c>
      <c r="B788" s="1" t="s">
        <v>134</v>
      </c>
      <c r="C788" s="2" t="s">
        <v>460</v>
      </c>
      <c r="D788" s="1" t="s">
        <v>404</v>
      </c>
      <c r="E788" s="54">
        <f>E789</f>
        <v>200000</v>
      </c>
      <c r="F788" s="54">
        <f>F789</f>
        <v>0</v>
      </c>
      <c r="G788" s="61">
        <f t="shared" si="41"/>
        <v>200000</v>
      </c>
    </row>
    <row r="789" spans="1:7" s="4" customFormat="1" ht="31.5">
      <c r="A789" s="23" t="s">
        <v>396</v>
      </c>
      <c r="B789" s="1" t="s">
        <v>134</v>
      </c>
      <c r="C789" s="2" t="s">
        <v>460</v>
      </c>
      <c r="D789" s="1" t="s">
        <v>405</v>
      </c>
      <c r="E789" s="54">
        <v>200000</v>
      </c>
      <c r="F789" s="54"/>
      <c r="G789" s="61">
        <f t="shared" si="41"/>
        <v>200000</v>
      </c>
    </row>
    <row r="790" spans="1:7" s="4" customFormat="1" ht="15.75">
      <c r="A790" s="27" t="s">
        <v>411</v>
      </c>
      <c r="B790" s="1" t="s">
        <v>134</v>
      </c>
      <c r="C790" s="2" t="s">
        <v>209</v>
      </c>
      <c r="D790" s="12"/>
      <c r="E790" s="53">
        <f>E791</f>
        <v>10200000</v>
      </c>
      <c r="F790" s="53">
        <f>F791</f>
        <v>-3449000</v>
      </c>
      <c r="G790" s="61">
        <f t="shared" si="41"/>
        <v>6751000</v>
      </c>
    </row>
    <row r="791" spans="1:7" s="4" customFormat="1" ht="15.75">
      <c r="A791" s="25" t="s">
        <v>1</v>
      </c>
      <c r="B791" s="1" t="s">
        <v>134</v>
      </c>
      <c r="C791" s="2" t="s">
        <v>2</v>
      </c>
      <c r="D791" s="2"/>
      <c r="E791" s="51">
        <f>SUM(E792,E795)</f>
        <v>10200000</v>
      </c>
      <c r="F791" s="51">
        <f>SUM(F792,F795)</f>
        <v>-3449000</v>
      </c>
      <c r="G791" s="61">
        <f t="shared" si="41"/>
        <v>6751000</v>
      </c>
    </row>
    <row r="792" spans="1:7" s="4" customFormat="1" ht="63">
      <c r="A792" s="25" t="s">
        <v>152</v>
      </c>
      <c r="B792" s="1" t="s">
        <v>134</v>
      </c>
      <c r="C792" s="2" t="s">
        <v>599</v>
      </c>
      <c r="D792" s="2"/>
      <c r="E792" s="51">
        <f>E793</f>
        <v>1200000</v>
      </c>
      <c r="F792" s="51">
        <f>F793</f>
        <v>0</v>
      </c>
      <c r="G792" s="61">
        <f t="shared" si="41"/>
        <v>1200000</v>
      </c>
    </row>
    <row r="793" spans="1:7" s="4" customFormat="1" ht="15.75">
      <c r="A793" s="23" t="s">
        <v>400</v>
      </c>
      <c r="B793" s="1" t="s">
        <v>134</v>
      </c>
      <c r="C793" s="2" t="s">
        <v>599</v>
      </c>
      <c r="D793" s="2">
        <v>800</v>
      </c>
      <c r="E793" s="51">
        <f>E794</f>
        <v>1200000</v>
      </c>
      <c r="F793" s="51">
        <f>F794</f>
        <v>0</v>
      </c>
      <c r="G793" s="61">
        <f t="shared" si="41"/>
        <v>1200000</v>
      </c>
    </row>
    <row r="794" spans="1:7" s="4" customFormat="1" ht="15.75">
      <c r="A794" s="25" t="s">
        <v>420</v>
      </c>
      <c r="B794" s="1" t="s">
        <v>134</v>
      </c>
      <c r="C794" s="2" t="s">
        <v>599</v>
      </c>
      <c r="D794" s="2">
        <v>880</v>
      </c>
      <c r="E794" s="51">
        <v>1200000</v>
      </c>
      <c r="F794" s="51"/>
      <c r="G794" s="61">
        <f t="shared" si="41"/>
        <v>1200000</v>
      </c>
    </row>
    <row r="795" spans="1:7" s="4" customFormat="1" ht="47.25">
      <c r="A795" s="25" t="s">
        <v>416</v>
      </c>
      <c r="B795" s="1" t="s">
        <v>134</v>
      </c>
      <c r="C795" s="2" t="s">
        <v>600</v>
      </c>
      <c r="D795" s="2"/>
      <c r="E795" s="51">
        <f>E796</f>
        <v>9000000</v>
      </c>
      <c r="F795" s="51">
        <f>F796</f>
        <v>-3449000</v>
      </c>
      <c r="G795" s="61">
        <f t="shared" si="41"/>
        <v>5551000</v>
      </c>
    </row>
    <row r="796" spans="1:7" s="4" customFormat="1" ht="15.75">
      <c r="A796" s="23" t="s">
        <v>400</v>
      </c>
      <c r="B796" s="1" t="s">
        <v>134</v>
      </c>
      <c r="C796" s="2" t="s">
        <v>600</v>
      </c>
      <c r="D796" s="2">
        <v>800</v>
      </c>
      <c r="E796" s="57">
        <f>E797</f>
        <v>9000000</v>
      </c>
      <c r="F796" s="57">
        <f>F797</f>
        <v>-3449000</v>
      </c>
      <c r="G796" s="61">
        <f t="shared" si="41"/>
        <v>5551000</v>
      </c>
    </row>
    <row r="797" spans="1:7" s="4" customFormat="1" ht="15.75">
      <c r="A797" s="25" t="s">
        <v>420</v>
      </c>
      <c r="B797" s="1" t="s">
        <v>134</v>
      </c>
      <c r="C797" s="2" t="s">
        <v>600</v>
      </c>
      <c r="D797" s="2">
        <v>880</v>
      </c>
      <c r="E797" s="51">
        <v>9000000</v>
      </c>
      <c r="F797" s="51">
        <v>-3449000</v>
      </c>
      <c r="G797" s="61">
        <f t="shared" si="41"/>
        <v>5551000</v>
      </c>
    </row>
    <row r="798" spans="1:7" s="4" customFormat="1" ht="15.75">
      <c r="A798" s="9" t="s">
        <v>92</v>
      </c>
      <c r="B798" s="8" t="s">
        <v>93</v>
      </c>
      <c r="C798" s="2"/>
      <c r="D798" s="2"/>
      <c r="E798" s="55">
        <f>SUM(E799,E804)</f>
        <v>32000000</v>
      </c>
      <c r="F798" s="55">
        <f>SUM(F799,F804)</f>
        <v>0</v>
      </c>
      <c r="G798" s="59">
        <f t="shared" si="41"/>
        <v>32000000</v>
      </c>
    </row>
    <row r="799" spans="1:7" s="4" customFormat="1" ht="15.75">
      <c r="A799" s="10" t="s">
        <v>94</v>
      </c>
      <c r="B799" s="12" t="s">
        <v>95</v>
      </c>
      <c r="C799" s="2"/>
      <c r="D799" s="2"/>
      <c r="E799" s="50">
        <f aca="true" t="shared" si="43" ref="E799:F802">E800</f>
        <v>11500000</v>
      </c>
      <c r="F799" s="50">
        <f t="shared" si="43"/>
        <v>0</v>
      </c>
      <c r="G799" s="60">
        <f t="shared" si="41"/>
        <v>11500000</v>
      </c>
    </row>
    <row r="800" spans="1:7" s="4" customFormat="1" ht="31.5">
      <c r="A800" s="25" t="s">
        <v>204</v>
      </c>
      <c r="B800" s="1" t="s">
        <v>95</v>
      </c>
      <c r="C800" s="2" t="s">
        <v>51</v>
      </c>
      <c r="D800" s="2"/>
      <c r="E800" s="51">
        <f t="shared" si="43"/>
        <v>11500000</v>
      </c>
      <c r="F800" s="51">
        <f t="shared" si="43"/>
        <v>0</v>
      </c>
      <c r="G800" s="61">
        <f t="shared" si="41"/>
        <v>11500000</v>
      </c>
    </row>
    <row r="801" spans="1:7" s="4" customFormat="1" ht="31.5">
      <c r="A801" s="25" t="s">
        <v>268</v>
      </c>
      <c r="B801" s="1" t="s">
        <v>95</v>
      </c>
      <c r="C801" s="2" t="s">
        <v>60</v>
      </c>
      <c r="D801" s="2"/>
      <c r="E801" s="51">
        <f t="shared" si="43"/>
        <v>11500000</v>
      </c>
      <c r="F801" s="51">
        <f t="shared" si="43"/>
        <v>0</v>
      </c>
      <c r="G801" s="61">
        <f t="shared" si="41"/>
        <v>11500000</v>
      </c>
    </row>
    <row r="802" spans="1:7" s="4" customFormat="1" ht="15.75">
      <c r="A802" s="25" t="s">
        <v>400</v>
      </c>
      <c r="B802" s="1" t="s">
        <v>95</v>
      </c>
      <c r="C802" s="2" t="s">
        <v>60</v>
      </c>
      <c r="D802" s="2">
        <v>800</v>
      </c>
      <c r="E802" s="51">
        <f t="shared" si="43"/>
        <v>11500000</v>
      </c>
      <c r="F802" s="51">
        <f t="shared" si="43"/>
        <v>0</v>
      </c>
      <c r="G802" s="61">
        <f t="shared" si="41"/>
        <v>11500000</v>
      </c>
    </row>
    <row r="803" spans="1:7" s="4" customFormat="1" ht="63">
      <c r="A803" s="25" t="s">
        <v>357</v>
      </c>
      <c r="B803" s="1" t="s">
        <v>95</v>
      </c>
      <c r="C803" s="2" t="s">
        <v>60</v>
      </c>
      <c r="D803" s="2">
        <v>810</v>
      </c>
      <c r="E803" s="51">
        <f>11000000+500000</f>
        <v>11500000</v>
      </c>
      <c r="F803" s="51"/>
      <c r="G803" s="61">
        <f t="shared" si="41"/>
        <v>11500000</v>
      </c>
    </row>
    <row r="804" spans="1:7" s="4" customFormat="1" ht="31.5">
      <c r="A804" s="10" t="s">
        <v>97</v>
      </c>
      <c r="B804" s="12" t="s">
        <v>98</v>
      </c>
      <c r="C804" s="2"/>
      <c r="D804" s="2"/>
      <c r="E804" s="50">
        <f aca="true" t="shared" si="44" ref="E804:F807">E805</f>
        <v>20500000</v>
      </c>
      <c r="F804" s="50">
        <f t="shared" si="44"/>
        <v>0</v>
      </c>
      <c r="G804" s="60">
        <f t="shared" si="41"/>
        <v>20500000</v>
      </c>
    </row>
    <row r="805" spans="1:7" s="4" customFormat="1" ht="31.5">
      <c r="A805" s="25" t="s">
        <v>204</v>
      </c>
      <c r="B805" s="1" t="s">
        <v>98</v>
      </c>
      <c r="C805" s="2" t="s">
        <v>51</v>
      </c>
      <c r="D805" s="2"/>
      <c r="E805" s="51">
        <f t="shared" si="44"/>
        <v>20500000</v>
      </c>
      <c r="F805" s="51">
        <f t="shared" si="44"/>
        <v>0</v>
      </c>
      <c r="G805" s="61">
        <f t="shared" si="41"/>
        <v>20500000</v>
      </c>
    </row>
    <row r="806" spans="1:7" s="4" customFormat="1" ht="47.25">
      <c r="A806" s="25" t="s">
        <v>496</v>
      </c>
      <c r="B806" s="1" t="s">
        <v>98</v>
      </c>
      <c r="C806" s="2" t="s">
        <v>61</v>
      </c>
      <c r="D806" s="2"/>
      <c r="E806" s="51">
        <f t="shared" si="44"/>
        <v>20500000</v>
      </c>
      <c r="F806" s="51">
        <f t="shared" si="44"/>
        <v>0</v>
      </c>
      <c r="G806" s="61">
        <f t="shared" si="41"/>
        <v>20500000</v>
      </c>
    </row>
    <row r="807" spans="1:7" s="4" customFormat="1" ht="15.75">
      <c r="A807" s="25" t="s">
        <v>400</v>
      </c>
      <c r="B807" s="1" t="s">
        <v>98</v>
      </c>
      <c r="C807" s="2" t="s">
        <v>61</v>
      </c>
      <c r="D807" s="2">
        <v>800</v>
      </c>
      <c r="E807" s="51">
        <f t="shared" si="44"/>
        <v>20500000</v>
      </c>
      <c r="F807" s="51">
        <f t="shared" si="44"/>
        <v>0</v>
      </c>
      <c r="G807" s="61">
        <f t="shared" si="41"/>
        <v>20500000</v>
      </c>
    </row>
    <row r="808" spans="1:7" s="4" customFormat="1" ht="63">
      <c r="A808" s="25" t="s">
        <v>357</v>
      </c>
      <c r="B808" s="1" t="s">
        <v>98</v>
      </c>
      <c r="C808" s="2" t="s">
        <v>61</v>
      </c>
      <c r="D808" s="2">
        <v>810</v>
      </c>
      <c r="E808" s="51">
        <f>20000000+500000</f>
        <v>20500000</v>
      </c>
      <c r="F808" s="51"/>
      <c r="G808" s="61">
        <f t="shared" si="41"/>
        <v>20500000</v>
      </c>
    </row>
    <row r="809" spans="1:7" s="4" customFormat="1" ht="15.75">
      <c r="A809" s="9" t="s">
        <v>99</v>
      </c>
      <c r="B809" s="8" t="s">
        <v>100</v>
      </c>
      <c r="C809" s="2"/>
      <c r="D809" s="2"/>
      <c r="E809" s="55">
        <f>SUM(E816,E810)</f>
        <v>5450000</v>
      </c>
      <c r="F809" s="55">
        <f>SUM(F816,F810)</f>
        <v>0</v>
      </c>
      <c r="G809" s="59">
        <f t="shared" si="41"/>
        <v>5450000</v>
      </c>
    </row>
    <row r="810" spans="1:7" s="4" customFormat="1" ht="15.75">
      <c r="A810" s="10" t="s">
        <v>101</v>
      </c>
      <c r="B810" s="12" t="s">
        <v>102</v>
      </c>
      <c r="C810" s="2"/>
      <c r="D810" s="2"/>
      <c r="E810" s="50">
        <f aca="true" t="shared" si="45" ref="E810:F814">E811</f>
        <v>2550000</v>
      </c>
      <c r="F810" s="50">
        <f t="shared" si="45"/>
        <v>0</v>
      </c>
      <c r="G810" s="60">
        <f t="shared" si="41"/>
        <v>2550000</v>
      </c>
    </row>
    <row r="811" spans="1:7" s="4" customFormat="1" ht="15.75">
      <c r="A811" s="27" t="s">
        <v>411</v>
      </c>
      <c r="B811" s="1" t="s">
        <v>102</v>
      </c>
      <c r="C811" s="2" t="s">
        <v>209</v>
      </c>
      <c r="D811" s="2"/>
      <c r="E811" s="51">
        <f t="shared" si="45"/>
        <v>2550000</v>
      </c>
      <c r="F811" s="51">
        <f t="shared" si="45"/>
        <v>0</v>
      </c>
      <c r="G811" s="61">
        <f t="shared" si="41"/>
        <v>2550000</v>
      </c>
    </row>
    <row r="812" spans="1:7" s="4" customFormat="1" ht="47.25">
      <c r="A812" s="25" t="s">
        <v>604</v>
      </c>
      <c r="B812" s="1" t="s">
        <v>102</v>
      </c>
      <c r="C812" s="2" t="s">
        <v>583</v>
      </c>
      <c r="D812" s="2"/>
      <c r="E812" s="51">
        <f t="shared" si="45"/>
        <v>2550000</v>
      </c>
      <c r="F812" s="51">
        <f t="shared" si="45"/>
        <v>0</v>
      </c>
      <c r="G812" s="61">
        <f t="shared" si="41"/>
        <v>2550000</v>
      </c>
    </row>
    <row r="813" spans="1:7" s="4" customFormat="1" ht="47.25">
      <c r="A813" s="25" t="s">
        <v>62</v>
      </c>
      <c r="B813" s="1" t="s">
        <v>102</v>
      </c>
      <c r="C813" s="2" t="s">
        <v>593</v>
      </c>
      <c r="D813" s="2"/>
      <c r="E813" s="51">
        <f t="shared" si="45"/>
        <v>2550000</v>
      </c>
      <c r="F813" s="51">
        <f t="shared" si="45"/>
        <v>0</v>
      </c>
      <c r="G813" s="61">
        <f t="shared" si="41"/>
        <v>2550000</v>
      </c>
    </row>
    <row r="814" spans="1:7" s="4" customFormat="1" ht="31.5">
      <c r="A814" s="23" t="s">
        <v>211</v>
      </c>
      <c r="B814" s="1" t="s">
        <v>102</v>
      </c>
      <c r="C814" s="2" t="s">
        <v>593</v>
      </c>
      <c r="D814" s="2">
        <v>200</v>
      </c>
      <c r="E814" s="51">
        <f t="shared" si="45"/>
        <v>2550000</v>
      </c>
      <c r="F814" s="51">
        <f t="shared" si="45"/>
        <v>0</v>
      </c>
      <c r="G814" s="61">
        <f t="shared" si="41"/>
        <v>2550000</v>
      </c>
    </row>
    <row r="815" spans="1:7" s="28" customFormat="1" ht="31.5">
      <c r="A815" s="23" t="s">
        <v>396</v>
      </c>
      <c r="B815" s="1" t="s">
        <v>102</v>
      </c>
      <c r="C815" s="2" t="s">
        <v>593</v>
      </c>
      <c r="D815" s="2">
        <v>240</v>
      </c>
      <c r="E815" s="51">
        <v>2550000</v>
      </c>
      <c r="F815" s="51"/>
      <c r="G815" s="61">
        <f t="shared" si="41"/>
        <v>2550000</v>
      </c>
    </row>
    <row r="816" spans="1:7" s="28" customFormat="1" ht="15.75">
      <c r="A816" s="10" t="s">
        <v>103</v>
      </c>
      <c r="B816" s="12" t="s">
        <v>104</v>
      </c>
      <c r="C816" s="2"/>
      <c r="D816" s="2"/>
      <c r="E816" s="50">
        <f aca="true" t="shared" si="46" ref="E816:F820">E817</f>
        <v>2900000</v>
      </c>
      <c r="F816" s="50">
        <f t="shared" si="46"/>
        <v>0</v>
      </c>
      <c r="G816" s="60">
        <f t="shared" si="41"/>
        <v>2900000</v>
      </c>
    </row>
    <row r="817" spans="1:7" ht="15.75">
      <c r="A817" s="27" t="s">
        <v>411</v>
      </c>
      <c r="B817" s="1" t="s">
        <v>104</v>
      </c>
      <c r="C817" s="2" t="s">
        <v>209</v>
      </c>
      <c r="D817" s="2"/>
      <c r="E817" s="51">
        <f t="shared" si="46"/>
        <v>2900000</v>
      </c>
      <c r="F817" s="51">
        <f t="shared" si="46"/>
        <v>0</v>
      </c>
      <c r="G817" s="61">
        <f t="shared" si="41"/>
        <v>2900000</v>
      </c>
    </row>
    <row r="818" spans="1:7" s="4" customFormat="1" ht="47.25">
      <c r="A818" s="25" t="s">
        <v>604</v>
      </c>
      <c r="B818" s="1" t="s">
        <v>104</v>
      </c>
      <c r="C818" s="2" t="s">
        <v>583</v>
      </c>
      <c r="D818" s="2"/>
      <c r="E818" s="51">
        <f t="shared" si="46"/>
        <v>2900000</v>
      </c>
      <c r="F818" s="51">
        <f t="shared" si="46"/>
        <v>0</v>
      </c>
      <c r="G818" s="61">
        <f t="shared" si="41"/>
        <v>2900000</v>
      </c>
    </row>
    <row r="819" spans="1:7" s="4" customFormat="1" ht="47.25">
      <c r="A819" s="25" t="s">
        <v>62</v>
      </c>
      <c r="B819" s="1" t="s">
        <v>104</v>
      </c>
      <c r="C819" s="2" t="s">
        <v>593</v>
      </c>
      <c r="D819" s="2"/>
      <c r="E819" s="51">
        <f t="shared" si="46"/>
        <v>2900000</v>
      </c>
      <c r="F819" s="51">
        <f t="shared" si="46"/>
        <v>0</v>
      </c>
      <c r="G819" s="61">
        <f t="shared" si="41"/>
        <v>2900000</v>
      </c>
    </row>
    <row r="820" spans="1:7" s="4" customFormat="1" ht="31.5">
      <c r="A820" s="23" t="s">
        <v>211</v>
      </c>
      <c r="B820" s="1" t="s">
        <v>104</v>
      </c>
      <c r="C820" s="2" t="s">
        <v>593</v>
      </c>
      <c r="D820" s="2">
        <v>200</v>
      </c>
      <c r="E820" s="51">
        <f t="shared" si="46"/>
        <v>2900000</v>
      </c>
      <c r="F820" s="51">
        <f t="shared" si="46"/>
        <v>0</v>
      </c>
      <c r="G820" s="61">
        <f t="shared" si="41"/>
        <v>2900000</v>
      </c>
    </row>
    <row r="821" spans="1:7" s="4" customFormat="1" ht="31.5">
      <c r="A821" s="23" t="s">
        <v>396</v>
      </c>
      <c r="B821" s="1" t="s">
        <v>104</v>
      </c>
      <c r="C821" s="2" t="s">
        <v>593</v>
      </c>
      <c r="D821" s="2">
        <v>240</v>
      </c>
      <c r="E821" s="51">
        <v>2900000</v>
      </c>
      <c r="F821" s="51"/>
      <c r="G821" s="61">
        <f t="shared" si="41"/>
        <v>2900000</v>
      </c>
    </row>
    <row r="822" spans="1:7" s="4" customFormat="1" ht="31.5">
      <c r="A822" s="9" t="s">
        <v>119</v>
      </c>
      <c r="B822" s="8" t="s">
        <v>120</v>
      </c>
      <c r="C822" s="2"/>
      <c r="D822" s="2"/>
      <c r="E822" s="55">
        <f aca="true" t="shared" si="47" ref="E822:F827">E823</f>
        <v>17500000</v>
      </c>
      <c r="F822" s="55">
        <f t="shared" si="47"/>
        <v>-4668003.31</v>
      </c>
      <c r="G822" s="59">
        <f t="shared" si="41"/>
        <v>12831996.690000001</v>
      </c>
    </row>
    <row r="823" spans="1:7" s="4" customFormat="1" ht="31.5">
      <c r="A823" s="10" t="s">
        <v>187</v>
      </c>
      <c r="B823" s="12" t="s">
        <v>121</v>
      </c>
      <c r="C823" s="2"/>
      <c r="D823" s="2"/>
      <c r="E823" s="50">
        <f t="shared" si="47"/>
        <v>17500000</v>
      </c>
      <c r="F823" s="50">
        <f t="shared" si="47"/>
        <v>-4668003.31</v>
      </c>
      <c r="G823" s="60">
        <f t="shared" si="41"/>
        <v>12831996.690000001</v>
      </c>
    </row>
    <row r="824" spans="1:7" s="39" customFormat="1" ht="16.5">
      <c r="A824" s="27" t="s">
        <v>411</v>
      </c>
      <c r="B824" s="1" t="s">
        <v>121</v>
      </c>
      <c r="C824" s="2" t="s">
        <v>209</v>
      </c>
      <c r="D824" s="2"/>
      <c r="E824" s="51">
        <f t="shared" si="47"/>
        <v>17500000</v>
      </c>
      <c r="F824" s="51">
        <f t="shared" si="47"/>
        <v>-4668003.31</v>
      </c>
      <c r="G824" s="61">
        <f>SUM(E824:F824)</f>
        <v>12831996.690000001</v>
      </c>
    </row>
    <row r="825" spans="1:7" s="4" customFormat="1" ht="47.25">
      <c r="A825" s="25" t="s">
        <v>584</v>
      </c>
      <c r="B825" s="1" t="s">
        <v>121</v>
      </c>
      <c r="C825" s="2" t="s">
        <v>583</v>
      </c>
      <c r="D825" s="2"/>
      <c r="E825" s="51">
        <f t="shared" si="47"/>
        <v>17500000</v>
      </c>
      <c r="F825" s="51">
        <f t="shared" si="47"/>
        <v>-4668003.31</v>
      </c>
      <c r="G825" s="61">
        <f>SUM(E825:F825)</f>
        <v>12831996.690000001</v>
      </c>
    </row>
    <row r="826" spans="1:7" s="4" customFormat="1" ht="15.75">
      <c r="A826" s="25" t="s">
        <v>414</v>
      </c>
      <c r="B826" s="1" t="s">
        <v>121</v>
      </c>
      <c r="C826" s="2" t="s">
        <v>598</v>
      </c>
      <c r="D826" s="2"/>
      <c r="E826" s="51">
        <f t="shared" si="47"/>
        <v>17500000</v>
      </c>
      <c r="F826" s="51">
        <f t="shared" si="47"/>
        <v>-4668003.31</v>
      </c>
      <c r="G826" s="61">
        <f>SUM(E826:F826)</f>
        <v>12831996.690000001</v>
      </c>
    </row>
    <row r="827" spans="1:7" s="28" customFormat="1" ht="31.5">
      <c r="A827" s="25" t="s">
        <v>424</v>
      </c>
      <c r="B827" s="1" t="s">
        <v>121</v>
      </c>
      <c r="C827" s="2" t="s">
        <v>598</v>
      </c>
      <c r="D827" s="2">
        <v>700</v>
      </c>
      <c r="E827" s="51">
        <f t="shared" si="47"/>
        <v>17500000</v>
      </c>
      <c r="F827" s="51">
        <f t="shared" si="47"/>
        <v>-4668003.31</v>
      </c>
      <c r="G827" s="61">
        <f>SUM(E827:F827)</f>
        <v>12831996.690000001</v>
      </c>
    </row>
    <row r="828" spans="1:7" s="5" customFormat="1" ht="15.75">
      <c r="A828" s="25" t="s">
        <v>425</v>
      </c>
      <c r="B828" s="1" t="s">
        <v>121</v>
      </c>
      <c r="C828" s="2" t="s">
        <v>598</v>
      </c>
      <c r="D828" s="2">
        <v>730</v>
      </c>
      <c r="E828" s="51">
        <v>17500000</v>
      </c>
      <c r="F828" s="51">
        <f>-4500000-168003.31</f>
        <v>-4668003.31</v>
      </c>
      <c r="G828" s="61">
        <f>SUM(E828:F828)</f>
        <v>12831996.690000001</v>
      </c>
    </row>
    <row r="829" spans="1:7" s="5" customFormat="1" ht="47.25">
      <c r="A829" s="65" t="s">
        <v>282</v>
      </c>
      <c r="B829" s="8" t="s">
        <v>273</v>
      </c>
      <c r="C829" s="34"/>
      <c r="D829" s="34"/>
      <c r="E829" s="55">
        <f aca="true" t="shared" si="48" ref="E829:F834">E830</f>
        <v>21597821</v>
      </c>
      <c r="F829" s="55">
        <f t="shared" si="48"/>
        <v>5666864.9</v>
      </c>
      <c r="G829" s="59">
        <f aca="true" t="shared" si="49" ref="G829:G844">SUM(E829:F829)</f>
        <v>27264685.9</v>
      </c>
    </row>
    <row r="830" spans="1:7" s="5" customFormat="1" ht="31.5">
      <c r="A830" s="66" t="s">
        <v>283</v>
      </c>
      <c r="B830" s="12" t="s">
        <v>274</v>
      </c>
      <c r="C830" s="16"/>
      <c r="D830" s="16"/>
      <c r="E830" s="50">
        <f t="shared" si="48"/>
        <v>21597821</v>
      </c>
      <c r="F830" s="50">
        <f t="shared" si="48"/>
        <v>5666864.9</v>
      </c>
      <c r="G830" s="60">
        <f t="shared" si="49"/>
        <v>27264685.9</v>
      </c>
    </row>
    <row r="831" spans="1:7" s="5" customFormat="1" ht="15.75">
      <c r="A831" s="27" t="s">
        <v>411</v>
      </c>
      <c r="B831" s="1" t="s">
        <v>274</v>
      </c>
      <c r="C831" s="2" t="s">
        <v>209</v>
      </c>
      <c r="D831" s="2"/>
      <c r="E831" s="51">
        <f t="shared" si="48"/>
        <v>21597821</v>
      </c>
      <c r="F831" s="51">
        <f t="shared" si="48"/>
        <v>5666864.9</v>
      </c>
      <c r="G831" s="61">
        <f t="shared" si="49"/>
        <v>27264685.9</v>
      </c>
    </row>
    <row r="832" spans="1:7" s="5" customFormat="1" ht="47.25">
      <c r="A832" s="23" t="s">
        <v>284</v>
      </c>
      <c r="B832" s="1" t="s">
        <v>274</v>
      </c>
      <c r="C832" s="2" t="s">
        <v>275</v>
      </c>
      <c r="D832" s="2"/>
      <c r="E832" s="51">
        <f>SUM(E833,E836,E839,E842)</f>
        <v>21597821</v>
      </c>
      <c r="F832" s="51">
        <f>SUM(F833,F836,F839,F842)</f>
        <v>5666864.9</v>
      </c>
      <c r="G832" s="61">
        <f t="shared" si="49"/>
        <v>27264685.9</v>
      </c>
    </row>
    <row r="833" spans="1:7" s="5" customFormat="1" ht="47.25">
      <c r="A833" s="23" t="s">
        <v>285</v>
      </c>
      <c r="B833" s="1" t="s">
        <v>274</v>
      </c>
      <c r="C833" s="2" t="s">
        <v>276</v>
      </c>
      <c r="D833" s="2"/>
      <c r="E833" s="51">
        <f t="shared" si="48"/>
        <v>17597821</v>
      </c>
      <c r="F833" s="51">
        <f t="shared" si="48"/>
        <v>0</v>
      </c>
      <c r="G833" s="61">
        <f t="shared" si="49"/>
        <v>17597821</v>
      </c>
    </row>
    <row r="834" spans="1:7" s="5" customFormat="1" ht="15.75">
      <c r="A834" s="23" t="s">
        <v>286</v>
      </c>
      <c r="B834" s="1" t="s">
        <v>274</v>
      </c>
      <c r="C834" s="2" t="s">
        <v>276</v>
      </c>
      <c r="D834" s="2">
        <v>500</v>
      </c>
      <c r="E834" s="51">
        <f t="shared" si="48"/>
        <v>17597821</v>
      </c>
      <c r="F834" s="51">
        <f t="shared" si="48"/>
        <v>0</v>
      </c>
      <c r="G834" s="61">
        <f t="shared" si="49"/>
        <v>17597821</v>
      </c>
    </row>
    <row r="835" spans="1:7" s="5" customFormat="1" ht="15.75">
      <c r="A835" s="23" t="s">
        <v>287</v>
      </c>
      <c r="B835" s="1" t="s">
        <v>274</v>
      </c>
      <c r="C835" s="2" t="s">
        <v>276</v>
      </c>
      <c r="D835" s="2">
        <v>540</v>
      </c>
      <c r="E835" s="51">
        <v>17597821</v>
      </c>
      <c r="F835" s="51"/>
      <c r="G835" s="61">
        <f t="shared" si="49"/>
        <v>17597821</v>
      </c>
    </row>
    <row r="836" spans="1:7" s="5" customFormat="1" ht="47.25">
      <c r="A836" s="23" t="s">
        <v>310</v>
      </c>
      <c r="B836" s="1" t="s">
        <v>274</v>
      </c>
      <c r="C836" s="2" t="s">
        <v>311</v>
      </c>
      <c r="D836" s="2"/>
      <c r="E836" s="51">
        <f>E837</f>
        <v>4000000</v>
      </c>
      <c r="F836" s="51">
        <f>F837</f>
        <v>495900</v>
      </c>
      <c r="G836" s="61">
        <f t="shared" si="49"/>
        <v>4495900</v>
      </c>
    </row>
    <row r="837" spans="1:7" s="5" customFormat="1" ht="15.75">
      <c r="A837" s="23" t="s">
        <v>286</v>
      </c>
      <c r="B837" s="1" t="s">
        <v>274</v>
      </c>
      <c r="C837" s="2" t="s">
        <v>311</v>
      </c>
      <c r="D837" s="2">
        <v>500</v>
      </c>
      <c r="E837" s="51">
        <f>E838</f>
        <v>4000000</v>
      </c>
      <c r="F837" s="51">
        <f>F838</f>
        <v>495900</v>
      </c>
      <c r="G837" s="61">
        <f t="shared" si="49"/>
        <v>4495900</v>
      </c>
    </row>
    <row r="838" spans="1:7" s="5" customFormat="1" ht="15.75">
      <c r="A838" s="23" t="s">
        <v>287</v>
      </c>
      <c r="B838" s="1" t="s">
        <v>274</v>
      </c>
      <c r="C838" s="2" t="s">
        <v>311</v>
      </c>
      <c r="D838" s="2">
        <v>540</v>
      </c>
      <c r="E838" s="51">
        <v>4000000</v>
      </c>
      <c r="F838" s="51">
        <v>495900</v>
      </c>
      <c r="G838" s="61">
        <f t="shared" si="49"/>
        <v>4495900</v>
      </c>
    </row>
    <row r="839" spans="1:7" s="5" customFormat="1" ht="47.25">
      <c r="A839" s="23" t="s">
        <v>336</v>
      </c>
      <c r="B839" s="1" t="s">
        <v>274</v>
      </c>
      <c r="C839" s="2" t="s">
        <v>335</v>
      </c>
      <c r="D839" s="2"/>
      <c r="E839" s="51">
        <f>E840</f>
        <v>0</v>
      </c>
      <c r="F839" s="51">
        <f>F840</f>
        <v>1025064.56</v>
      </c>
      <c r="G839" s="61">
        <f t="shared" si="49"/>
        <v>1025064.56</v>
      </c>
    </row>
    <row r="840" spans="1:7" s="5" customFormat="1" ht="15.75">
      <c r="A840" s="23" t="s">
        <v>286</v>
      </c>
      <c r="B840" s="1" t="s">
        <v>274</v>
      </c>
      <c r="C840" s="2" t="s">
        <v>335</v>
      </c>
      <c r="D840" s="2">
        <v>500</v>
      </c>
      <c r="E840" s="51">
        <f>E841</f>
        <v>0</v>
      </c>
      <c r="F840" s="51">
        <f>F841</f>
        <v>1025064.56</v>
      </c>
      <c r="G840" s="61">
        <f t="shared" si="49"/>
        <v>1025064.56</v>
      </c>
    </row>
    <row r="841" spans="1:7" s="5" customFormat="1" ht="15.75">
      <c r="A841" s="23" t="s">
        <v>287</v>
      </c>
      <c r="B841" s="1" t="s">
        <v>274</v>
      </c>
      <c r="C841" s="2" t="s">
        <v>335</v>
      </c>
      <c r="D841" s="2">
        <v>540</v>
      </c>
      <c r="E841" s="51"/>
      <c r="F841" s="51">
        <v>1025064.56</v>
      </c>
      <c r="G841" s="61">
        <f t="shared" si="49"/>
        <v>1025064.56</v>
      </c>
    </row>
    <row r="842" spans="1:7" s="5" customFormat="1" ht="99" customHeight="1">
      <c r="A842" s="23" t="s">
        <v>108</v>
      </c>
      <c r="B842" s="1" t="s">
        <v>274</v>
      </c>
      <c r="C842" s="2" t="s">
        <v>107</v>
      </c>
      <c r="D842" s="2"/>
      <c r="E842" s="51">
        <f>E843</f>
        <v>0</v>
      </c>
      <c r="F842" s="51">
        <f>F843</f>
        <v>4145900.34</v>
      </c>
      <c r="G842" s="61">
        <f t="shared" si="49"/>
        <v>4145900.34</v>
      </c>
    </row>
    <row r="843" spans="1:7" s="5" customFormat="1" ht="15.75">
      <c r="A843" s="23" t="s">
        <v>286</v>
      </c>
      <c r="B843" s="1" t="s">
        <v>274</v>
      </c>
      <c r="C843" s="2" t="s">
        <v>107</v>
      </c>
      <c r="D843" s="2">
        <v>500</v>
      </c>
      <c r="E843" s="51">
        <f>E844</f>
        <v>0</v>
      </c>
      <c r="F843" s="51">
        <f>F844</f>
        <v>4145900.34</v>
      </c>
      <c r="G843" s="61">
        <f t="shared" si="49"/>
        <v>4145900.34</v>
      </c>
    </row>
    <row r="844" spans="1:7" s="5" customFormat="1" ht="15.75">
      <c r="A844" s="23" t="s">
        <v>287</v>
      </c>
      <c r="B844" s="1" t="s">
        <v>274</v>
      </c>
      <c r="C844" s="2" t="s">
        <v>107</v>
      </c>
      <c r="D844" s="2">
        <v>540</v>
      </c>
      <c r="E844" s="51"/>
      <c r="F844" s="51">
        <v>4145900.34</v>
      </c>
      <c r="G844" s="61">
        <f t="shared" si="49"/>
        <v>4145900.34</v>
      </c>
    </row>
    <row r="845" spans="1:10" s="21" customFormat="1" ht="16.5">
      <c r="A845" s="18" t="s">
        <v>423</v>
      </c>
      <c r="B845" s="46"/>
      <c r="C845" s="22"/>
      <c r="D845" s="19"/>
      <c r="E845" s="58">
        <f>SUM(E6,E140,E168,E253,E359,E366,E530,E616,E798,E809,E822,E829)</f>
        <v>3417682619.7</v>
      </c>
      <c r="F845" s="58">
        <f>SUM(F6,F140,F168,F253,F359,F366,F530,F616,F798,F809,F822,F829)</f>
        <v>590145590.3300002</v>
      </c>
      <c r="G845" s="59">
        <f>SUM(E845:F845)</f>
        <v>4007828210.0299997</v>
      </c>
      <c r="H845" s="20"/>
      <c r="I845" s="20"/>
      <c r="J845" s="20"/>
    </row>
  </sheetData>
  <sheetProtection/>
  <mergeCells count="2">
    <mergeCell ref="E1:G1"/>
    <mergeCell ref="A3:G3"/>
  </mergeCells>
  <printOptions/>
  <pageMargins left="0.77" right="0.24" top="0.53" bottom="0.38" header="0.17" footer="0.16"/>
  <pageSetup firstPageNumber="3" useFirstPageNumber="1" fitToHeight="0" fitToWidth="1" horizontalDpi="600" verticalDpi="6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2017-11-01T07:18:57Z</cp:lastPrinted>
  <dcterms:created xsi:type="dcterms:W3CDTF">2014-07-22T10:08:58Z</dcterms:created>
  <dcterms:modified xsi:type="dcterms:W3CDTF">2017-11-28T08:33:49Z</dcterms:modified>
  <cp:category/>
  <cp:version/>
  <cp:contentType/>
  <cp:contentStatus/>
</cp:coreProperties>
</file>